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9795" windowHeight="10620" tabRatio="933" activeTab="2"/>
  </bookViews>
  <sheets>
    <sheet name="Honden" sheetId="1" r:id="rId1"/>
    <sheet name="teams" sheetId="2" r:id="rId2"/>
    <sheet name="BayernXpress I" sheetId="3" r:id="rId3"/>
    <sheet name="Cool Racers" sheetId="4" r:id="rId4"/>
    <sheet name="Flying Stars" sheetId="5" r:id="rId5"/>
    <sheet name="Fast'nFurious Flyballteam" sheetId="6" r:id="rId6"/>
    <sheet name="uitslagen" sheetId="7" r:id="rId7"/>
    <sheet name="RR4" sheetId="8" r:id="rId8"/>
    <sheet name="DE4" sheetId="9" r:id="rId9"/>
  </sheets>
  <externalReferences>
    <externalReference r:id="rId12"/>
  </externalReferences>
  <definedNames>
    <definedName name="_xlnm._FilterDatabase" localSheetId="0" hidden="1">'Honden'!$A$1:$G$229</definedName>
    <definedName name="_xlnm._FilterDatabase" localSheetId="1" hidden="1">'teams'!$A$1:$E$9</definedName>
    <definedName name="_xlnm.Print_Area" localSheetId="2">'BayernXpress I'!$A$20:$AA$78</definedName>
    <definedName name="_xlnm.Print_Area" localSheetId="3">'Cool Racers'!$A$20:$AA$78</definedName>
    <definedName name="_xlnm.Print_Area" localSheetId="8">'DE4'!$A$1:$K$36</definedName>
    <definedName name="_xlnm.Print_Area" localSheetId="5">'Fast''nFurious Flyballteam'!$A$20:$AA$78</definedName>
    <definedName name="_xlnm.Print_Area" localSheetId="4">'Flying Stars'!$A$20:$AA$78</definedName>
    <definedName name="_xlnm.Print_Area" localSheetId="7">'RR4'!$B$1:$R$26</definedName>
    <definedName name="_xlnm.Print_Area" localSheetId="6">'uitslagen'!$A$1:$J$111</definedName>
    <definedName name="_xlnm.Print_Titles" localSheetId="2">'BayernXpress I'!$1:$19</definedName>
    <definedName name="_xlnm.Print_Titles" localSheetId="3">'Cool Racers'!$1:$19</definedName>
    <definedName name="_xlnm.Print_Titles" localSheetId="5">'Fast''nFurious Flyballteam'!$1:$19</definedName>
    <definedName name="_xlnm.Print_Titles" localSheetId="4">'Flying Stars'!$1:$19</definedName>
    <definedName name="Honden">'Honden'!$B:$G</definedName>
    <definedName name="Z_1BF91566_16FB_4159_8B1B_7169F5D2BCC3_.wvu.Cols" localSheetId="2" hidden="1">'BayernXpress I'!$AB:$AQ</definedName>
    <definedName name="Z_1BF91566_16FB_4159_8B1B_7169F5D2BCC3_.wvu.Cols" localSheetId="3" hidden="1">'Cool Racers'!$AB:$AQ</definedName>
    <definedName name="Z_1BF91566_16FB_4159_8B1B_7169F5D2BCC3_.wvu.Cols" localSheetId="8" hidden="1">'DE4'!$L:$BM</definedName>
    <definedName name="Z_1BF91566_16FB_4159_8B1B_7169F5D2BCC3_.wvu.Cols" localSheetId="5" hidden="1">'Fast''nFurious Flyballteam'!$AB:$AQ</definedName>
    <definedName name="Z_1BF91566_16FB_4159_8B1B_7169F5D2BCC3_.wvu.Cols" localSheetId="4" hidden="1">'Flying Stars'!$AB:$AQ</definedName>
    <definedName name="Z_1BF91566_16FB_4159_8B1B_7169F5D2BCC3_.wvu.Cols" localSheetId="7" hidden="1">'RR4'!$A:$A,'RR4'!$S:$AY</definedName>
    <definedName name="Z_1BF91566_16FB_4159_8B1B_7169F5D2BCC3_.wvu.Cols" localSheetId="6" hidden="1">'uitslagen'!$L:$BW</definedName>
    <definedName name="Z_1BF91566_16FB_4159_8B1B_7169F5D2BCC3_.wvu.FilterData" localSheetId="0" hidden="1">'Honden'!$A$1:$F$1</definedName>
    <definedName name="Z_1BF91566_16FB_4159_8B1B_7169F5D2BCC3_.wvu.PrintArea" localSheetId="2" hidden="1">'BayernXpress I'!$A$20:$AA$78</definedName>
    <definedName name="Z_1BF91566_16FB_4159_8B1B_7169F5D2BCC3_.wvu.PrintArea" localSheetId="3" hidden="1">'Cool Racers'!$A$20:$AA$78</definedName>
    <definedName name="Z_1BF91566_16FB_4159_8B1B_7169F5D2BCC3_.wvu.PrintArea" localSheetId="8" hidden="1">'DE4'!$A$1:$K$36</definedName>
    <definedName name="Z_1BF91566_16FB_4159_8B1B_7169F5D2BCC3_.wvu.PrintArea" localSheetId="5" hidden="1">'Fast''nFurious Flyballteam'!$A$20:$AA$78</definedName>
    <definedName name="Z_1BF91566_16FB_4159_8B1B_7169F5D2BCC3_.wvu.PrintArea" localSheetId="4" hidden="1">'Flying Stars'!$A$20:$AA$78</definedName>
    <definedName name="Z_1BF91566_16FB_4159_8B1B_7169F5D2BCC3_.wvu.PrintArea" localSheetId="7" hidden="1">'RR4'!$B$1:$R$26</definedName>
    <definedName name="Z_1BF91566_16FB_4159_8B1B_7169F5D2BCC3_.wvu.PrintArea" localSheetId="6" hidden="1">'uitslagen'!$A$1:$J$111</definedName>
    <definedName name="Z_1BF91566_16FB_4159_8B1B_7169F5D2BCC3_.wvu.PrintTitles" localSheetId="2" hidden="1">'BayernXpress I'!$1:$19</definedName>
    <definedName name="Z_1BF91566_16FB_4159_8B1B_7169F5D2BCC3_.wvu.PrintTitles" localSheetId="3" hidden="1">'Cool Racers'!$1:$19</definedName>
    <definedName name="Z_1BF91566_16FB_4159_8B1B_7169F5D2BCC3_.wvu.PrintTitles" localSheetId="5" hidden="1">'Fast''nFurious Flyballteam'!$1:$19</definedName>
    <definedName name="Z_1BF91566_16FB_4159_8B1B_7169F5D2BCC3_.wvu.PrintTitles" localSheetId="4" hidden="1">'Flying Stars'!$1:$19</definedName>
    <definedName name="Z_1BF91566_16FB_4159_8B1B_7169F5D2BCC3_.wvu.Rows" localSheetId="7" hidden="1">'RR4'!$29:$46</definedName>
    <definedName name="Z_1BF91566_16FB_4159_8B1B_7169F5D2BCC3_.wvu.Rows" localSheetId="6" hidden="1">'uitslagen'!$13:$48,'uitslagen'!$63:$79,'uitslagen'!$87:$91,'uitslagen'!$99:$103</definedName>
    <definedName name="Z_EF3A1663_8B47_4846_8E3B_C81DF8B7DD82_.wvu.Cols" localSheetId="2" hidden="1">'BayernXpress I'!$AB:$AQ</definedName>
    <definedName name="Z_EF3A1663_8B47_4846_8E3B_C81DF8B7DD82_.wvu.Cols" localSheetId="3" hidden="1">'Cool Racers'!$AB:$AQ</definedName>
    <definedName name="Z_EF3A1663_8B47_4846_8E3B_C81DF8B7DD82_.wvu.Cols" localSheetId="8" hidden="1">'DE4'!$L:$BM</definedName>
    <definedName name="Z_EF3A1663_8B47_4846_8E3B_C81DF8B7DD82_.wvu.Cols" localSheetId="5" hidden="1">'Fast''nFurious Flyballteam'!$AB:$AQ</definedName>
    <definedName name="Z_EF3A1663_8B47_4846_8E3B_C81DF8B7DD82_.wvu.Cols" localSheetId="4" hidden="1">'Flying Stars'!$AB:$AQ</definedName>
    <definedName name="Z_EF3A1663_8B47_4846_8E3B_C81DF8B7DD82_.wvu.Cols" localSheetId="7" hidden="1">'RR4'!$A:$A,'RR4'!$S:$AY</definedName>
    <definedName name="Z_EF3A1663_8B47_4846_8E3B_C81DF8B7DD82_.wvu.Cols" localSheetId="6" hidden="1">'uitslagen'!$L:$BW</definedName>
    <definedName name="Z_EF3A1663_8B47_4846_8E3B_C81DF8B7DD82_.wvu.FilterData" localSheetId="0" hidden="1">'Honden'!$A$1:$F$1</definedName>
    <definedName name="Z_EF3A1663_8B47_4846_8E3B_C81DF8B7DD82_.wvu.PrintArea" localSheetId="2" hidden="1">'BayernXpress I'!$A$20:$AA$78</definedName>
    <definedName name="Z_EF3A1663_8B47_4846_8E3B_C81DF8B7DD82_.wvu.PrintArea" localSheetId="3" hidden="1">'Cool Racers'!$A$20:$AA$78</definedName>
    <definedName name="Z_EF3A1663_8B47_4846_8E3B_C81DF8B7DD82_.wvu.PrintArea" localSheetId="8" hidden="1">'DE4'!$A$1:$K$36</definedName>
    <definedName name="Z_EF3A1663_8B47_4846_8E3B_C81DF8B7DD82_.wvu.PrintArea" localSheetId="5" hidden="1">'Fast''nFurious Flyballteam'!$A$20:$AA$78</definedName>
    <definedName name="Z_EF3A1663_8B47_4846_8E3B_C81DF8B7DD82_.wvu.PrintArea" localSheetId="4" hidden="1">'Flying Stars'!$A$20:$AA$78</definedName>
    <definedName name="Z_EF3A1663_8B47_4846_8E3B_C81DF8B7DD82_.wvu.PrintArea" localSheetId="7" hidden="1">'RR4'!$B$1:$R$26</definedName>
    <definedName name="Z_EF3A1663_8B47_4846_8E3B_C81DF8B7DD82_.wvu.PrintArea" localSheetId="6" hidden="1">'uitslagen'!$A$1:$J$111</definedName>
    <definedName name="Z_EF3A1663_8B47_4846_8E3B_C81DF8B7DD82_.wvu.PrintTitles" localSheetId="2" hidden="1">'BayernXpress I'!$1:$19</definedName>
    <definedName name="Z_EF3A1663_8B47_4846_8E3B_C81DF8B7DD82_.wvu.PrintTitles" localSheetId="3" hidden="1">'Cool Racers'!$1:$19</definedName>
    <definedName name="Z_EF3A1663_8B47_4846_8E3B_C81DF8B7DD82_.wvu.PrintTitles" localSheetId="5" hidden="1">'Fast''nFurious Flyballteam'!$1:$19</definedName>
    <definedName name="Z_EF3A1663_8B47_4846_8E3B_C81DF8B7DD82_.wvu.PrintTitles" localSheetId="4" hidden="1">'Flying Stars'!$1:$19</definedName>
    <definedName name="Z_EF3A1663_8B47_4846_8E3B_C81DF8B7DD82_.wvu.Rows" localSheetId="7" hidden="1">'RR4'!$29:$46</definedName>
    <definedName name="Z_EF3A1663_8B47_4846_8E3B_C81DF8B7DD82_.wvu.Rows" localSheetId="6" hidden="1">'uitslagen'!$13:$48,'uitslagen'!$63:$79,'uitslagen'!$87:$91,'uitslagen'!$99:$103</definedName>
  </definedNames>
  <calcPr fullCalcOnLoad="1"/>
</workbook>
</file>

<file path=xl/comments7.xml><?xml version="1.0" encoding="utf-8"?>
<comments xmlns="http://schemas.openxmlformats.org/spreadsheetml/2006/main">
  <authors>
    <author>Mark Dewilde</author>
  </authors>
  <commentList>
    <comment ref="J49" authorId="0">
      <text>
        <r>
          <rPr>
            <b/>
            <sz val="8"/>
            <rFont val="Tahoma"/>
            <family val="0"/>
          </rPr>
          <t>Pas aan indien nodig</t>
        </r>
        <r>
          <rPr>
            <sz val="8"/>
            <rFont val="Tahoma"/>
            <family val="0"/>
          </rPr>
          <t xml:space="preserve">
</t>
        </r>
      </text>
    </comment>
    <comment ref="J82" authorId="0">
      <text>
        <r>
          <rPr>
            <sz val="8"/>
            <rFont val="Tahoma"/>
            <family val="2"/>
          </rPr>
          <t>Vul desgewenst anders in: 
0 = negeer
1= eerste parameter  ( kijk eerst naar…)
2= tweede parameter
3 = derde parameter
4= vierde parameter</t>
        </r>
      </text>
    </comment>
    <comment ref="J106" authorId="0">
      <text>
        <r>
          <rPr>
            <sz val="8"/>
            <rFont val="Tahoma"/>
            <family val="2"/>
          </rPr>
          <t>Vul desgewenst anders in: 
0 =klassiek
1= combi</t>
        </r>
      </text>
    </comment>
    <comment ref="B49" authorId="0">
      <text>
        <r>
          <rPr>
            <b/>
            <sz val="8"/>
            <rFont val="Tahoma"/>
            <family val="0"/>
          </rPr>
          <t>Pas aan indien nodig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Pas aan indien nodig</t>
        </r>
        <r>
          <rPr>
            <sz val="8"/>
            <rFont val="Tahoma"/>
            <family val="0"/>
          </rPr>
          <t xml:space="preserve">
</t>
        </r>
      </text>
    </comment>
    <comment ref="J83" authorId="0">
      <text>
        <r>
          <rPr>
            <sz val="8"/>
            <rFont val="Tahoma"/>
            <family val="2"/>
          </rPr>
          <t>Vul desgewenst anders in: 
0 = negeer
1= eerste parameter  ( kijk eerst naar…)
2= tweede parameter
3 = derde parameter
4= vierde parameter</t>
        </r>
      </text>
    </comment>
    <comment ref="J84" authorId="0">
      <text>
        <r>
          <rPr>
            <sz val="8"/>
            <rFont val="Tahoma"/>
            <family val="2"/>
          </rPr>
          <t>Vul desgewenst anders in: 
0 = negeer
1= eerste parameter  ( kijk eerst naar…)
2= tweede parameter
3 = derde parameter
4= vierde parameter</t>
        </r>
      </text>
    </comment>
    <comment ref="I3" authorId="0">
      <text>
        <r>
          <rPr>
            <b/>
            <sz val="8"/>
            <rFont val="Tahoma"/>
            <family val="0"/>
          </rPr>
          <t>Pas aan indien nodig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<sst xmlns="http://schemas.openxmlformats.org/spreadsheetml/2006/main" count="6609" uniqueCount="2997">
  <si>
    <t># 3</t>
  </si>
  <si>
    <t>-</t>
  </si>
  <si>
    <t># 2</t>
  </si>
  <si>
    <t># 4</t>
  </si>
  <si>
    <t># 1</t>
  </si>
  <si>
    <t>L1</t>
  </si>
  <si>
    <t>L3</t>
  </si>
  <si>
    <t>L2</t>
  </si>
  <si>
    <t>RACE 3</t>
  </si>
  <si>
    <t>RACE 1</t>
  </si>
  <si>
    <t>RACE 6</t>
  </si>
  <si>
    <t>RACE 7</t>
  </si>
  <si>
    <t>Race</t>
  </si>
  <si>
    <t>Rood</t>
  </si>
  <si>
    <t>Blauw</t>
  </si>
  <si>
    <t>Conducteur</t>
  </si>
  <si>
    <t>race</t>
  </si>
  <si>
    <t>Div</t>
  </si>
  <si>
    <t>som</t>
  </si>
  <si>
    <t xml:space="preserve">Best of </t>
  </si>
  <si>
    <t>baan</t>
  </si>
  <si>
    <t>Team</t>
  </si>
  <si>
    <t>Tijd 1</t>
  </si>
  <si>
    <t>Tijd 2</t>
  </si>
  <si>
    <t>Tijd 3</t>
  </si>
  <si>
    <t>Tijd 4</t>
  </si>
  <si>
    <t>Tijd 5</t>
  </si>
  <si>
    <t>Check 2</t>
  </si>
  <si>
    <t>Check 3</t>
  </si>
  <si>
    <t>Check 1</t>
  </si>
  <si>
    <t>Check 4</t>
  </si>
  <si>
    <t>Check 5</t>
  </si>
  <si>
    <t>tegen</t>
  </si>
  <si>
    <t>Team - Race</t>
  </si>
  <si>
    <t>invoer 1</t>
  </si>
  <si>
    <t>invoer 2</t>
  </si>
  <si>
    <t>invoer 3</t>
  </si>
  <si>
    <t>invoer 4</t>
  </si>
  <si>
    <t>invoer 5</t>
  </si>
  <si>
    <t>Fout 1</t>
  </si>
  <si>
    <t>Fout 2</t>
  </si>
  <si>
    <t>Fout 3</t>
  </si>
  <si>
    <t>Fout 4</t>
  </si>
  <si>
    <t>Fout 5</t>
  </si>
  <si>
    <t xml:space="preserve">Beste Tijd </t>
  </si>
  <si>
    <t>Forfait</t>
  </si>
  <si>
    <t>Loose</t>
  </si>
  <si>
    <t>Baan</t>
  </si>
  <si>
    <t>voor</t>
  </si>
  <si>
    <t>nu</t>
  </si>
  <si>
    <t>FoutRace</t>
  </si>
  <si>
    <t>beste</t>
  </si>
  <si>
    <t>wins</t>
  </si>
  <si>
    <t>W / L</t>
  </si>
  <si>
    <t>Win</t>
  </si>
  <si>
    <t>IDENTITEIT</t>
  </si>
  <si>
    <t>tijd 1</t>
  </si>
  <si>
    <t>tijd 2</t>
  </si>
  <si>
    <t>tijd 3</t>
  </si>
  <si>
    <t>tijd 4</t>
  </si>
  <si>
    <t>tijd 5</t>
  </si>
  <si>
    <t>check 1</t>
  </si>
  <si>
    <t>check 2</t>
  </si>
  <si>
    <t>check 3</t>
  </si>
  <si>
    <t>check 4</t>
  </si>
  <si>
    <t>check 5</t>
  </si>
  <si>
    <t>fout 1</t>
  </si>
  <si>
    <t>fout 2</t>
  </si>
  <si>
    <t>fout 3</t>
  </si>
  <si>
    <t>fout 4</t>
  </si>
  <si>
    <t>punten</t>
  </si>
  <si>
    <t>head-head</t>
  </si>
  <si>
    <t>Beste Tijd</t>
  </si>
  <si>
    <t>2de Beste Tijd</t>
  </si>
  <si>
    <t>Totaal punten :</t>
  </si>
  <si>
    <t>Head to head race :</t>
  </si>
  <si>
    <t>Snelste tijd :</t>
  </si>
  <si>
    <t>2de snelste tijd :</t>
  </si>
  <si>
    <t>#</t>
  </si>
  <si>
    <t>fout 5</t>
  </si>
  <si>
    <t>tot ptn</t>
  </si>
  <si>
    <t>tot ptn andere</t>
  </si>
  <si>
    <t>SORTEERDER</t>
  </si>
  <si>
    <t>BEVESTIGING</t>
  </si>
  <si>
    <t>RR</t>
  </si>
  <si>
    <t>kleinste</t>
  </si>
  <si>
    <t>DA (Klassiek)</t>
  </si>
  <si>
    <t>w1</t>
  </si>
  <si>
    <t>RACE 2</t>
  </si>
  <si>
    <t>#3</t>
  </si>
  <si>
    <t>w2</t>
  </si>
  <si>
    <t>w3</t>
  </si>
  <si>
    <t>RACE 5</t>
  </si>
  <si>
    <t>w5</t>
  </si>
  <si>
    <t>l1</t>
  </si>
  <si>
    <t>l2</t>
  </si>
  <si>
    <t>RACE 4</t>
  </si>
  <si>
    <t>w4</t>
  </si>
  <si>
    <t>w6</t>
  </si>
  <si>
    <t>l3</t>
  </si>
  <si>
    <t>DE</t>
  </si>
  <si>
    <t>L6</t>
  </si>
  <si>
    <t>l6</t>
  </si>
  <si>
    <t>Border Collie</t>
  </si>
  <si>
    <t>Fay</t>
  </si>
  <si>
    <t>Amy</t>
  </si>
  <si>
    <t>Angel</t>
  </si>
  <si>
    <t>Bandit</t>
  </si>
  <si>
    <t>Rocky</t>
  </si>
  <si>
    <t>Rambo</t>
  </si>
  <si>
    <t>Max</t>
  </si>
  <si>
    <t>Beagle</t>
  </si>
  <si>
    <t>Happy</t>
  </si>
  <si>
    <t>Flash</t>
  </si>
  <si>
    <t>Luna</t>
  </si>
  <si>
    <t>Fame</t>
  </si>
  <si>
    <t>Laika</t>
  </si>
  <si>
    <t>Lana</t>
  </si>
  <si>
    <t>Kim</t>
  </si>
  <si>
    <t>Emma</t>
  </si>
  <si>
    <t>Fly</t>
  </si>
  <si>
    <t>Kira</t>
  </si>
  <si>
    <t>Sheltie</t>
  </si>
  <si>
    <t>Mix</t>
  </si>
  <si>
    <t>Dea</t>
  </si>
  <si>
    <t>Merlin</t>
  </si>
  <si>
    <t>Australian Shepherd</t>
  </si>
  <si>
    <t>Sky</t>
  </si>
  <si>
    <t>Fine</t>
  </si>
  <si>
    <t>Shiva</t>
  </si>
  <si>
    <t>Tara</t>
  </si>
  <si>
    <t>Mischling</t>
  </si>
  <si>
    <t>Lady</t>
  </si>
  <si>
    <t>Lucky</t>
  </si>
  <si>
    <t>Finn</t>
  </si>
  <si>
    <t>Danny</t>
  </si>
  <si>
    <t>Ben</t>
  </si>
  <si>
    <t>Pepper</t>
  </si>
  <si>
    <t>Indy</t>
  </si>
  <si>
    <t>Nike</t>
  </si>
  <si>
    <t>Cavalier King Charles Spaniel</t>
  </si>
  <si>
    <t>Snoopy</t>
  </si>
  <si>
    <t>Bruno</t>
  </si>
  <si>
    <t>Tessa</t>
  </si>
  <si>
    <t>Roxy</t>
  </si>
  <si>
    <t>Nougat</t>
  </si>
  <si>
    <t>Sally</t>
  </si>
  <si>
    <t>Polly</t>
  </si>
  <si>
    <t>Jana</t>
  </si>
  <si>
    <t>Milo</t>
  </si>
  <si>
    <t>Jack</t>
  </si>
  <si>
    <t>Maya</t>
  </si>
  <si>
    <t>Jazz</t>
  </si>
  <si>
    <t>Charly</t>
  </si>
  <si>
    <t>Bearded Collie</t>
  </si>
  <si>
    <t>Nick</t>
  </si>
  <si>
    <t>Joy</t>
  </si>
  <si>
    <t>Border Terrier</t>
  </si>
  <si>
    <t>Enya</t>
  </si>
  <si>
    <t>Teamname</t>
  </si>
  <si>
    <t>Hund Nr.</t>
  </si>
  <si>
    <t>Name</t>
  </si>
  <si>
    <t>Rasse</t>
  </si>
  <si>
    <t>Sprunghöhe</t>
  </si>
  <si>
    <t>Vorname HF</t>
  </si>
  <si>
    <t>Geburtsdatum</t>
  </si>
  <si>
    <t>geimpft bis</t>
  </si>
  <si>
    <t>DE-Nr.</t>
  </si>
  <si>
    <t>Name HF</t>
  </si>
  <si>
    <t>Chip</t>
  </si>
  <si>
    <t>Ball Amazonen</t>
  </si>
  <si>
    <t>Palü</t>
  </si>
  <si>
    <t>Border Collie Mix</t>
  </si>
  <si>
    <t>Wilfried</t>
  </si>
  <si>
    <t>Jost</t>
  </si>
  <si>
    <t>Tervueren</t>
  </si>
  <si>
    <t>Karin</t>
  </si>
  <si>
    <t>Niepoth</t>
  </si>
  <si>
    <t>16 Paws of Power</t>
  </si>
  <si>
    <t>Eddie</t>
  </si>
  <si>
    <t>Joachim</t>
  </si>
  <si>
    <t>Müller</t>
  </si>
  <si>
    <t>Daniela</t>
  </si>
  <si>
    <t>Ace</t>
  </si>
  <si>
    <t>Nina</t>
  </si>
  <si>
    <t>Labrador</t>
  </si>
  <si>
    <t>Nadine</t>
  </si>
  <si>
    <t>Sabine</t>
  </si>
  <si>
    <t>Hoffmann</t>
  </si>
  <si>
    <t>Saskia</t>
  </si>
  <si>
    <t>Maja</t>
  </si>
  <si>
    <t>Jack Russell Terrier</t>
  </si>
  <si>
    <t>Regina</t>
  </si>
  <si>
    <t>Jung</t>
  </si>
  <si>
    <t>Jamie</t>
  </si>
  <si>
    <t>Colli</t>
  </si>
  <si>
    <t>Thomas</t>
  </si>
  <si>
    <t>Burk</t>
  </si>
  <si>
    <t>Leopold</t>
  </si>
  <si>
    <t>Zwergpudel</t>
  </si>
  <si>
    <t>Ruth</t>
  </si>
  <si>
    <t>Schubert</t>
  </si>
  <si>
    <t>Christine</t>
  </si>
  <si>
    <t>Kleinspitz</t>
  </si>
  <si>
    <t>Gunter</t>
  </si>
  <si>
    <t>Mattes</t>
  </si>
  <si>
    <t>Sparky</t>
  </si>
  <si>
    <t>Jack-Russel Mix</t>
  </si>
  <si>
    <t>Manuela</t>
  </si>
  <si>
    <t>Speedy</t>
  </si>
  <si>
    <t>Anne</t>
  </si>
  <si>
    <t>Elke</t>
  </si>
  <si>
    <t>Chester</t>
  </si>
  <si>
    <t>Margit</t>
  </si>
  <si>
    <t>Whippet</t>
  </si>
  <si>
    <t>Sarah</t>
  </si>
  <si>
    <t>Marion</t>
  </si>
  <si>
    <t>Monty</t>
  </si>
  <si>
    <t>Anja</t>
  </si>
  <si>
    <t>Die wilden aus dem Süden</t>
  </si>
  <si>
    <t>Momo</t>
  </si>
  <si>
    <t>Ellen</t>
  </si>
  <si>
    <t>Rusty</t>
  </si>
  <si>
    <t>Ronja</t>
  </si>
  <si>
    <t>Golden Retriever</t>
  </si>
  <si>
    <t>Martina</t>
  </si>
  <si>
    <t>Abby</t>
  </si>
  <si>
    <t>Tim</t>
  </si>
  <si>
    <t>Petra</t>
  </si>
  <si>
    <t>Parson Russell Terrier</t>
  </si>
  <si>
    <t>Flying Paws</t>
  </si>
  <si>
    <t>Malinois-Mix</t>
  </si>
  <si>
    <t>Michaela</t>
  </si>
  <si>
    <t>Leiß</t>
  </si>
  <si>
    <t>Tom</t>
  </si>
  <si>
    <t>Flying Stars</t>
  </si>
  <si>
    <t>Ariane</t>
  </si>
  <si>
    <t>Volkmann</t>
  </si>
  <si>
    <t>Katja</t>
  </si>
  <si>
    <t>Zoe</t>
  </si>
  <si>
    <t>Kleinpudel</t>
  </si>
  <si>
    <t>Irish Terrier</t>
  </si>
  <si>
    <t>Gina</t>
  </si>
  <si>
    <t>Willy</t>
  </si>
  <si>
    <t>DSH-Mix</t>
  </si>
  <si>
    <t>Havaneser</t>
  </si>
  <si>
    <t>Malteser</t>
  </si>
  <si>
    <t>Stefanie</t>
  </si>
  <si>
    <t>Frank</t>
  </si>
  <si>
    <t>Lotte</t>
  </si>
  <si>
    <t>Altdeutscher Hütehund, Tiger</t>
  </si>
  <si>
    <t>Sonja</t>
  </si>
  <si>
    <t>Christina</t>
  </si>
  <si>
    <t>Tipi-Jumper</t>
  </si>
  <si>
    <t>Ulrike</t>
  </si>
  <si>
    <t>Sunny</t>
  </si>
  <si>
    <t>Kerstin</t>
  </si>
  <si>
    <t>Preikschas</t>
  </si>
  <si>
    <t>Cool Runnings</t>
  </si>
  <si>
    <t>Wilson</t>
  </si>
  <si>
    <t>Alex</t>
  </si>
  <si>
    <t>Kocher</t>
  </si>
  <si>
    <t>Frizenschaf</t>
  </si>
  <si>
    <t>Markus</t>
  </si>
  <si>
    <t>Flying Devils Tirol</t>
  </si>
  <si>
    <t>Nell</t>
  </si>
  <si>
    <t>Labrador-Mix</t>
  </si>
  <si>
    <t>Ingrid</t>
  </si>
  <si>
    <t>Leonberger-Hovawart Mix</t>
  </si>
  <si>
    <t>Andrea</t>
  </si>
  <si>
    <t>Schmidt</t>
  </si>
  <si>
    <t>Filou</t>
  </si>
  <si>
    <t>Birgit</t>
  </si>
  <si>
    <t>Hahn</t>
  </si>
  <si>
    <t>Beate</t>
  </si>
  <si>
    <t>Miriam</t>
  </si>
  <si>
    <t>HSF Rocket-Dogs</t>
  </si>
  <si>
    <t>Katrin</t>
  </si>
  <si>
    <t>Nico</t>
  </si>
  <si>
    <t>Schlütter</t>
  </si>
  <si>
    <t>Sam</t>
  </si>
  <si>
    <t>Corinna</t>
  </si>
  <si>
    <t>Finja</t>
  </si>
  <si>
    <t>Schuld</t>
  </si>
  <si>
    <t>Kirsten</t>
  </si>
  <si>
    <t>Benny</t>
  </si>
  <si>
    <t>Claudia</t>
  </si>
  <si>
    <t>Crazy Stars</t>
  </si>
  <si>
    <t>Elo</t>
  </si>
  <si>
    <t>Kathrina</t>
  </si>
  <si>
    <t>Gerling</t>
  </si>
  <si>
    <t>Sina</t>
  </si>
  <si>
    <t>Roswitha</t>
  </si>
  <si>
    <t>Pausch</t>
  </si>
  <si>
    <t>Heidi</t>
  </si>
  <si>
    <t>Blue</t>
  </si>
  <si>
    <t>Benji</t>
  </si>
  <si>
    <t>Tess</t>
  </si>
  <si>
    <t>Rosemarie</t>
  </si>
  <si>
    <t>Kose-Kirsch</t>
  </si>
  <si>
    <t>Moon</t>
  </si>
  <si>
    <t>Nicky</t>
  </si>
  <si>
    <t>Nelly</t>
  </si>
  <si>
    <t>Mara</t>
  </si>
  <si>
    <t>Lucy</t>
  </si>
  <si>
    <t>Duke</t>
  </si>
  <si>
    <t>Nero</t>
  </si>
  <si>
    <t>Nicole</t>
  </si>
  <si>
    <t>Lotta</t>
  </si>
  <si>
    <t>Bettina</t>
  </si>
  <si>
    <t>Dalmatiner</t>
  </si>
  <si>
    <t>Die Rasselbande</t>
  </si>
  <si>
    <t>Diego</t>
  </si>
  <si>
    <t>Französische Bulldogge</t>
  </si>
  <si>
    <t>Dörr</t>
  </si>
  <si>
    <t>Grummich</t>
  </si>
  <si>
    <t>Flora</t>
  </si>
  <si>
    <t>Mudi</t>
  </si>
  <si>
    <t>Simone</t>
  </si>
  <si>
    <t>Stephanie</t>
  </si>
  <si>
    <t>Dt. Schäferhund</t>
  </si>
  <si>
    <t>Ina</t>
  </si>
  <si>
    <t>Homann</t>
  </si>
  <si>
    <t>Sammy</t>
  </si>
  <si>
    <t>Dogzillaz</t>
  </si>
  <si>
    <t>Felicitas</t>
  </si>
  <si>
    <t>Westerburg</t>
  </si>
  <si>
    <t>Alexandra</t>
  </si>
  <si>
    <t>Riesenschnauzer</t>
  </si>
  <si>
    <t>Linda</t>
  </si>
  <si>
    <t>Katharina</t>
  </si>
  <si>
    <t>Heike</t>
  </si>
  <si>
    <t>Merkelbach</t>
  </si>
  <si>
    <t>Manchester Terrier</t>
  </si>
  <si>
    <t>Boston Terrier</t>
  </si>
  <si>
    <t>Sigrid</t>
  </si>
  <si>
    <t>Thorius-Ehrler</t>
  </si>
  <si>
    <t>Bullterrier</t>
  </si>
  <si>
    <t>Gabriele</t>
  </si>
  <si>
    <t>James</t>
  </si>
  <si>
    <t>Anna</t>
  </si>
  <si>
    <t>Klara</t>
  </si>
  <si>
    <t>Kristina</t>
  </si>
  <si>
    <t>Susanne</t>
  </si>
  <si>
    <t>Wolfgang</t>
  </si>
  <si>
    <t>Kunz</t>
  </si>
  <si>
    <t>Coda</t>
  </si>
  <si>
    <t>Miniatur Australien Shepherd</t>
  </si>
  <si>
    <t>Gabi</t>
  </si>
  <si>
    <t>Krapf</t>
  </si>
  <si>
    <t>Sue</t>
  </si>
  <si>
    <t>Lara</t>
  </si>
  <si>
    <t>Mayr</t>
  </si>
  <si>
    <t>Labrador-Münsterländer Mix</t>
  </si>
  <si>
    <t>Leni</t>
  </si>
  <si>
    <t>Zirkel</t>
  </si>
  <si>
    <t>Berner Senn-Mix</t>
  </si>
  <si>
    <t>Lexi</t>
  </si>
  <si>
    <t>Peter</t>
  </si>
  <si>
    <t>Sandra</t>
  </si>
  <si>
    <t>Malinois</t>
  </si>
  <si>
    <t>Meggi</t>
  </si>
  <si>
    <t>Menge</t>
  </si>
  <si>
    <t>Ronny</t>
  </si>
  <si>
    <t>Kotte</t>
  </si>
  <si>
    <t>Linus</t>
  </si>
  <si>
    <t>Pamela</t>
  </si>
  <si>
    <t>Bay</t>
  </si>
  <si>
    <t>Robert</t>
  </si>
  <si>
    <t>Asmann</t>
  </si>
  <si>
    <t>Tanja</t>
  </si>
  <si>
    <t>Paula</t>
  </si>
  <si>
    <t>Volker</t>
  </si>
  <si>
    <t>Screamer</t>
  </si>
  <si>
    <t>Dagmar</t>
  </si>
  <si>
    <t>Warntjes</t>
  </si>
  <si>
    <t>Jens</t>
  </si>
  <si>
    <t>Riley</t>
  </si>
  <si>
    <t>Martin</t>
  </si>
  <si>
    <t>Endlebucher Sennenhund</t>
  </si>
  <si>
    <t>Büchner</t>
  </si>
  <si>
    <t>Maike</t>
  </si>
  <si>
    <t>Bröske-Bäumer</t>
  </si>
  <si>
    <t>Lisa</t>
  </si>
  <si>
    <t>Sydney</t>
  </si>
  <si>
    <t>Spike</t>
  </si>
  <si>
    <t>Cattle Dog</t>
  </si>
  <si>
    <t>Bonnie</t>
  </si>
  <si>
    <t>Akira</t>
  </si>
  <si>
    <t>Dobermann</t>
  </si>
  <si>
    <t>Chica</t>
  </si>
  <si>
    <t>Nele</t>
  </si>
  <si>
    <t>Anke</t>
  </si>
  <si>
    <t>Aiko</t>
  </si>
  <si>
    <t>Mergel</t>
  </si>
  <si>
    <t>Nash</t>
  </si>
  <si>
    <t>Schlug</t>
  </si>
  <si>
    <t>Carsten</t>
  </si>
  <si>
    <t>Jutta</t>
  </si>
  <si>
    <t>Diana</t>
  </si>
  <si>
    <t>Büttner</t>
  </si>
  <si>
    <t>Neo</t>
  </si>
  <si>
    <t>Babsi</t>
  </si>
  <si>
    <t>Tina</t>
  </si>
  <si>
    <t>Wilma</t>
  </si>
  <si>
    <t>Frechen</t>
  </si>
  <si>
    <t>Thorsten</t>
  </si>
  <si>
    <t>Balu</t>
  </si>
  <si>
    <t>Leonie</t>
  </si>
  <si>
    <t>Lea</t>
  </si>
  <si>
    <t>Steffen</t>
  </si>
  <si>
    <t>Golden Retriever Mix</t>
  </si>
  <si>
    <t>Brigitte</t>
  </si>
  <si>
    <t>Stella</t>
  </si>
  <si>
    <t>Rebecca</t>
  </si>
  <si>
    <t>Border Collie/Sheltie Mix</t>
  </si>
  <si>
    <t>Mandy</t>
  </si>
  <si>
    <t>Mira</t>
  </si>
  <si>
    <t>Meyer</t>
  </si>
  <si>
    <t>Brunner</t>
  </si>
  <si>
    <t>Shirley</t>
  </si>
  <si>
    <t>Schäfer</t>
  </si>
  <si>
    <t>Terrier Mix</t>
  </si>
  <si>
    <t>Jennifer</t>
  </si>
  <si>
    <t>Australian Shepherd Mix</t>
  </si>
  <si>
    <t>Bones</t>
  </si>
  <si>
    <t>Marita</t>
  </si>
  <si>
    <t>Bohne</t>
  </si>
  <si>
    <t>Paul</t>
  </si>
  <si>
    <t>Boxer</t>
  </si>
  <si>
    <t>Dominik</t>
  </si>
  <si>
    <t>Helmut</t>
  </si>
  <si>
    <t>Richter</t>
  </si>
  <si>
    <t>Gerd</t>
  </si>
  <si>
    <t>Jacqueline</t>
  </si>
  <si>
    <t>Ruby</t>
  </si>
  <si>
    <t>Weißer Schäferhund</t>
  </si>
  <si>
    <t>Angelika</t>
  </si>
  <si>
    <t>Michael</t>
  </si>
  <si>
    <t>Akina</t>
  </si>
  <si>
    <t>Michelle</t>
  </si>
  <si>
    <t>Pudel</t>
  </si>
  <si>
    <t>Mareike</t>
  </si>
  <si>
    <t>Daisy</t>
  </si>
  <si>
    <t>Steinmüller</t>
  </si>
  <si>
    <t>Timmy</t>
  </si>
  <si>
    <t>Gaby</t>
  </si>
  <si>
    <t>Pepe</t>
  </si>
  <si>
    <t>Doolin</t>
  </si>
  <si>
    <t>Wäller</t>
  </si>
  <si>
    <t>Aisha</t>
  </si>
  <si>
    <t>Edda</t>
  </si>
  <si>
    <t>Schinzel</t>
  </si>
  <si>
    <t>Willow</t>
  </si>
  <si>
    <t>Rosalie</t>
  </si>
  <si>
    <t>Shadow</t>
  </si>
  <si>
    <t>Schröder</t>
  </si>
  <si>
    <t>Simba</t>
  </si>
  <si>
    <t>Melanie</t>
  </si>
  <si>
    <t>Tyson</t>
  </si>
  <si>
    <t>Tobias</t>
  </si>
  <si>
    <t>Chelsea</t>
  </si>
  <si>
    <t>Deutscher Pinscher</t>
  </si>
  <si>
    <t>Goldmann</t>
  </si>
  <si>
    <t>Becker</t>
  </si>
  <si>
    <t>Magyar Viszlar</t>
  </si>
  <si>
    <t>Nala</t>
  </si>
  <si>
    <t>Jenny</t>
  </si>
  <si>
    <t>Basenji Mix</t>
  </si>
  <si>
    <t>Die 7 Zwerge</t>
  </si>
  <si>
    <t>Hexe</t>
  </si>
  <si>
    <t>Fino</t>
  </si>
  <si>
    <t>Altdeutscher Hütehund</t>
  </si>
  <si>
    <t>Eichhorst</t>
  </si>
  <si>
    <t>Oiva</t>
  </si>
  <si>
    <t>Kelpie-Mix</t>
  </si>
  <si>
    <t>Bingo</t>
  </si>
  <si>
    <t>Dirk</t>
  </si>
  <si>
    <t>Reimer</t>
  </si>
  <si>
    <t>Kimba</t>
  </si>
  <si>
    <t>Führing</t>
  </si>
  <si>
    <t>Barbara</t>
  </si>
  <si>
    <t>Pebbles</t>
  </si>
  <si>
    <t>Marina</t>
  </si>
  <si>
    <t>Schick</t>
  </si>
  <si>
    <t>Kloss</t>
  </si>
  <si>
    <t>Astrid</t>
  </si>
  <si>
    <t>Stank</t>
  </si>
  <si>
    <t>Dieter</t>
  </si>
  <si>
    <t>Micha</t>
  </si>
  <si>
    <t>Klein</t>
  </si>
  <si>
    <t>Bella</t>
  </si>
  <si>
    <t>Schäferhund-Mix</t>
  </si>
  <si>
    <t>Singler</t>
  </si>
  <si>
    <t>Quentin</t>
  </si>
  <si>
    <t>Jessica</t>
  </si>
  <si>
    <t>Wanke</t>
  </si>
  <si>
    <t>Elli</t>
  </si>
  <si>
    <t>Berger des Pyrénées</t>
  </si>
  <si>
    <t>Medinger</t>
  </si>
  <si>
    <t>Ringhandt</t>
  </si>
  <si>
    <t>Felix</t>
  </si>
  <si>
    <t>Yvonne</t>
  </si>
  <si>
    <t>Steven</t>
  </si>
  <si>
    <t>Schninköth</t>
  </si>
  <si>
    <t>Daniel</t>
  </si>
  <si>
    <t>Bea</t>
  </si>
  <si>
    <t>Rebekka</t>
  </si>
  <si>
    <t>Chilli</t>
  </si>
  <si>
    <t>Sutter</t>
  </si>
  <si>
    <t>Moni</t>
  </si>
  <si>
    <t>Paco</t>
  </si>
  <si>
    <t>Beauty Express</t>
  </si>
  <si>
    <t>Artus</t>
  </si>
  <si>
    <t>Patricia</t>
  </si>
  <si>
    <t>Tamy</t>
  </si>
  <si>
    <t>Bianca</t>
  </si>
  <si>
    <t>Pippo</t>
  </si>
  <si>
    <t>Matthias</t>
  </si>
  <si>
    <t>Touch Dogs</t>
  </si>
  <si>
    <t>Jule</t>
  </si>
  <si>
    <t>Dackel-Mix</t>
  </si>
  <si>
    <t>Greif</t>
  </si>
  <si>
    <t>Milan</t>
  </si>
  <si>
    <t>Bo</t>
  </si>
  <si>
    <t>Manuel</t>
  </si>
  <si>
    <t>Rühlemann</t>
  </si>
  <si>
    <t>Isabella</t>
  </si>
  <si>
    <t>Jesberger</t>
  </si>
  <si>
    <t>Lee</t>
  </si>
  <si>
    <t>Zwergschnauzer</t>
  </si>
  <si>
    <t>Herr</t>
  </si>
  <si>
    <t>Nano</t>
  </si>
  <si>
    <t>Mösta</t>
  </si>
  <si>
    <t>Cool Runnings Next Generation</t>
  </si>
  <si>
    <t>Jürgen</t>
  </si>
  <si>
    <t>Aika</t>
  </si>
  <si>
    <t>Dietz</t>
  </si>
  <si>
    <t>Antonia</t>
  </si>
  <si>
    <t>Sauerländer Hürdenschubser</t>
  </si>
  <si>
    <t>Siri</t>
  </si>
  <si>
    <t>Christiane</t>
  </si>
  <si>
    <t>Fritz</t>
  </si>
  <si>
    <t>Schäferhund</t>
  </si>
  <si>
    <t>Fynn</t>
  </si>
  <si>
    <t>Diane</t>
  </si>
  <si>
    <t>Raßloff</t>
  </si>
  <si>
    <t>Sabrina</t>
  </si>
  <si>
    <t>Ulla</t>
  </si>
  <si>
    <t>Wardenga</t>
  </si>
  <si>
    <t>Walter</t>
  </si>
  <si>
    <t>Entlebucher Sennenhund</t>
  </si>
  <si>
    <t>Loui</t>
  </si>
  <si>
    <t>Seppi</t>
  </si>
  <si>
    <t>Foxterrier</t>
  </si>
  <si>
    <t>Uli</t>
  </si>
  <si>
    <t>Gennrich</t>
  </si>
  <si>
    <t>Glatthaar-Fox Terrier</t>
  </si>
  <si>
    <t>Piper</t>
  </si>
  <si>
    <t>Stephan</t>
  </si>
  <si>
    <t>Bender</t>
  </si>
  <si>
    <t>Miniatur Bullterrier</t>
  </si>
  <si>
    <t>Andreas</t>
  </si>
  <si>
    <t>Kathrin</t>
  </si>
  <si>
    <t>Sylvia</t>
  </si>
  <si>
    <t>Sauer</t>
  </si>
  <si>
    <t>Saphira</t>
  </si>
  <si>
    <t>Australian Cattle Dog</t>
  </si>
  <si>
    <t>Anna Luisa</t>
  </si>
  <si>
    <t>Julia</t>
  </si>
  <si>
    <t>Hanna</t>
  </si>
  <si>
    <t>Luke</t>
  </si>
  <si>
    <t>Lisa-Marie</t>
  </si>
  <si>
    <t>Murphy</t>
  </si>
  <si>
    <t>Mogly</t>
  </si>
  <si>
    <t>S.</t>
  </si>
  <si>
    <t>Grosser</t>
  </si>
  <si>
    <t>Rasche</t>
  </si>
  <si>
    <t>Naala</t>
  </si>
  <si>
    <t>Eickwinkel</t>
  </si>
  <si>
    <t>Dackel</t>
  </si>
  <si>
    <t>Berghäuser</t>
  </si>
  <si>
    <t>Pille</t>
  </si>
  <si>
    <t>Mann</t>
  </si>
  <si>
    <t>Krümmel</t>
  </si>
  <si>
    <t>Jil</t>
  </si>
  <si>
    <t>Gawer</t>
  </si>
  <si>
    <t>(Bubbles) Trulyawesome Vanity Fair</t>
  </si>
  <si>
    <t>Phoebe</t>
  </si>
  <si>
    <t>(Tummy) Trulyawesome Tickled Pink</t>
  </si>
  <si>
    <t>Maylo</t>
  </si>
  <si>
    <t>Ronya</t>
  </si>
  <si>
    <t>Huski-Mix</t>
  </si>
  <si>
    <t>Bloch</t>
  </si>
  <si>
    <t>Marie Louise</t>
  </si>
  <si>
    <t>Leila</t>
  </si>
  <si>
    <t>Herbold</t>
  </si>
  <si>
    <t>Santalucia</t>
  </si>
  <si>
    <t>Roszyk</t>
  </si>
  <si>
    <t>Monika</t>
  </si>
  <si>
    <t>Hitzbleck</t>
  </si>
  <si>
    <t>Jasper</t>
  </si>
  <si>
    <t>Koprowski</t>
  </si>
  <si>
    <t>Römer</t>
  </si>
  <si>
    <t>Viola</t>
  </si>
  <si>
    <t>Dickersbach</t>
  </si>
  <si>
    <t>Alisa</t>
  </si>
  <si>
    <t>Aimee</t>
  </si>
  <si>
    <t>Weigand</t>
  </si>
  <si>
    <t>Jimmy</t>
  </si>
  <si>
    <t>Novak</t>
  </si>
  <si>
    <t>Jessy</t>
  </si>
  <si>
    <t>Nanjo</t>
  </si>
  <si>
    <t>Kubetz</t>
  </si>
  <si>
    <t>Angela</t>
  </si>
  <si>
    <t>Kuba</t>
  </si>
  <si>
    <t>Renate</t>
  </si>
  <si>
    <t>Riegger</t>
  </si>
  <si>
    <t>Fischer</t>
  </si>
  <si>
    <t>Stefan</t>
  </si>
  <si>
    <t>Louis</t>
  </si>
  <si>
    <t>Jasmin</t>
  </si>
  <si>
    <t>Peters</t>
  </si>
  <si>
    <t>Lennox</t>
  </si>
  <si>
    <t>Josch</t>
  </si>
  <si>
    <t>Manfred</t>
  </si>
  <si>
    <t>Ludwig</t>
  </si>
  <si>
    <t>Lenia</t>
  </si>
  <si>
    <t>Spanischer Wasserhund</t>
  </si>
  <si>
    <t>Edelmann</t>
  </si>
  <si>
    <t>Schulz</t>
  </si>
  <si>
    <t>Grey</t>
  </si>
  <si>
    <t>Anny</t>
  </si>
  <si>
    <t>Smokey</t>
  </si>
  <si>
    <t>Schneider</t>
  </si>
  <si>
    <t>Buck of Gehrfield</t>
  </si>
  <si>
    <t>Marco</t>
  </si>
  <si>
    <t>Wagner</t>
  </si>
  <si>
    <t>Silke</t>
  </si>
  <si>
    <t>Lilly</t>
  </si>
  <si>
    <t>Ralf</t>
  </si>
  <si>
    <t>Köster</t>
  </si>
  <si>
    <t>Kaya</t>
  </si>
  <si>
    <t>Alina</t>
  </si>
  <si>
    <t>Hahlweg</t>
  </si>
  <si>
    <t>Kiki</t>
  </si>
  <si>
    <t>Freeman</t>
  </si>
  <si>
    <t>Iris</t>
  </si>
  <si>
    <t>Parsen Jack Russel</t>
  </si>
  <si>
    <t>Grote</t>
  </si>
  <si>
    <t>Cooper</t>
  </si>
  <si>
    <t>Eva</t>
  </si>
  <si>
    <t>Gerdes</t>
  </si>
  <si>
    <t>Jacky</t>
  </si>
  <si>
    <t>Steiner</t>
  </si>
  <si>
    <t>Lou</t>
  </si>
  <si>
    <t>Wiederrich</t>
  </si>
  <si>
    <t>Detlef</t>
  </si>
  <si>
    <t>Warsow</t>
  </si>
  <si>
    <t>Sheela</t>
  </si>
  <si>
    <t>Ströhlein</t>
  </si>
  <si>
    <t>Conny</t>
  </si>
  <si>
    <t>Bauer</t>
  </si>
  <si>
    <t>Cardinal</t>
  </si>
  <si>
    <t>Alice</t>
  </si>
  <si>
    <t>Gianni</t>
  </si>
  <si>
    <t>Krämer</t>
  </si>
  <si>
    <t>Stahl</t>
  </si>
  <si>
    <t>Moritz</t>
  </si>
  <si>
    <t>Simona</t>
  </si>
  <si>
    <t>Ute</t>
  </si>
  <si>
    <t>Yoschi</t>
  </si>
  <si>
    <t>Juling</t>
  </si>
  <si>
    <t>Vicari</t>
  </si>
  <si>
    <t>Inge</t>
  </si>
  <si>
    <t>Jolie</t>
  </si>
  <si>
    <t>ter Duis</t>
  </si>
  <si>
    <t>Silvia</t>
  </si>
  <si>
    <t>Schmälter</t>
  </si>
  <si>
    <t>Souki</t>
  </si>
  <si>
    <t>Bauersachs</t>
  </si>
  <si>
    <t>Buddy</t>
  </si>
  <si>
    <t>Ramona</t>
  </si>
  <si>
    <t>Pearl</t>
  </si>
  <si>
    <t>Motte</t>
  </si>
  <si>
    <t>Linke</t>
  </si>
  <si>
    <t>Rex</t>
  </si>
  <si>
    <t>Susi</t>
  </si>
  <si>
    <t>Martha</t>
  </si>
  <si>
    <t>Jacques</t>
  </si>
  <si>
    <t>Krieg</t>
  </si>
  <si>
    <t>Denise</t>
  </si>
  <si>
    <t>Heiko</t>
  </si>
  <si>
    <t>Burst</t>
  </si>
  <si>
    <t>Siggi</t>
  </si>
  <si>
    <t>Hauser</t>
  </si>
  <si>
    <t>Vitus</t>
  </si>
  <si>
    <t>Holger / Kathrin</t>
  </si>
  <si>
    <t>Einstein</t>
  </si>
  <si>
    <t>Judith</t>
  </si>
  <si>
    <t>Bohländer</t>
  </si>
  <si>
    <t>Lenny</t>
  </si>
  <si>
    <t>Kolb</t>
  </si>
  <si>
    <t>Mylo</t>
  </si>
  <si>
    <t>Welsh Corgi</t>
  </si>
  <si>
    <t>Leela</t>
  </si>
  <si>
    <t>Böhmert</t>
  </si>
  <si>
    <t>Beagle Mix</t>
  </si>
  <si>
    <t>Fee</t>
  </si>
  <si>
    <t>Yumani</t>
  </si>
  <si>
    <t>Shanon</t>
  </si>
  <si>
    <t>Galgo mix</t>
  </si>
  <si>
    <t>Gürtler</t>
  </si>
  <si>
    <t>Nanuk</t>
  </si>
  <si>
    <t>Biskup</t>
  </si>
  <si>
    <t>Thust</t>
  </si>
  <si>
    <t>Malte</t>
  </si>
  <si>
    <t>Bernadette</t>
  </si>
  <si>
    <t>Droste</t>
  </si>
  <si>
    <t>Cliff</t>
  </si>
  <si>
    <t>Lutz</t>
  </si>
  <si>
    <t>Kreikebaum</t>
  </si>
  <si>
    <t>Ursula</t>
  </si>
  <si>
    <t>Gino</t>
  </si>
  <si>
    <t>Jörg</t>
  </si>
  <si>
    <t>Marburger</t>
  </si>
  <si>
    <t>Janice</t>
  </si>
  <si>
    <t>Emmy</t>
  </si>
  <si>
    <t>Schulte</t>
  </si>
  <si>
    <t>Ollhoff</t>
  </si>
  <si>
    <t>Laura</t>
  </si>
  <si>
    <t>Horn</t>
  </si>
  <si>
    <t>Harzer Fuchs</t>
  </si>
  <si>
    <t>Wöll</t>
  </si>
  <si>
    <t>Hecht</t>
  </si>
  <si>
    <t>MacLir</t>
  </si>
  <si>
    <t>Chesapeake Bay Retriever</t>
  </si>
  <si>
    <t>Bork</t>
  </si>
  <si>
    <t>Chico</t>
  </si>
  <si>
    <t>Schwarzentraub</t>
  </si>
  <si>
    <t>Kody</t>
  </si>
  <si>
    <t>Border Collie - Aussi - Mix</t>
  </si>
  <si>
    <t>Shary</t>
  </si>
  <si>
    <t>Sebastian</t>
  </si>
  <si>
    <t>Lydia</t>
  </si>
  <si>
    <t>Holzer</t>
  </si>
  <si>
    <t>Holländischer Schäferhund</t>
  </si>
  <si>
    <t>Günther</t>
  </si>
  <si>
    <t>Ida</t>
  </si>
  <si>
    <t>Olaf</t>
  </si>
  <si>
    <t>Riemer</t>
  </si>
  <si>
    <t>Mika</t>
  </si>
  <si>
    <t>Boxer Mix</t>
  </si>
  <si>
    <t>Cromm</t>
  </si>
  <si>
    <t>Ullrich</t>
  </si>
  <si>
    <t>Geissler</t>
  </si>
  <si>
    <t>Kanisha</t>
  </si>
  <si>
    <t>Bodi</t>
  </si>
  <si>
    <t>Bell</t>
  </si>
  <si>
    <t>Dalmatiner-Mix</t>
  </si>
  <si>
    <t>Ayla</t>
  </si>
  <si>
    <t>Cerro</t>
  </si>
  <si>
    <t>Gordon Setter - Saluki Mix</t>
  </si>
  <si>
    <t>Morris</t>
  </si>
  <si>
    <t>Dancer</t>
  </si>
  <si>
    <t>Yorkshire Mix</t>
  </si>
  <si>
    <t>Reimann</t>
  </si>
  <si>
    <t>Steffi</t>
  </si>
  <si>
    <t>Alicia</t>
  </si>
  <si>
    <t>Leo</t>
  </si>
  <si>
    <t>Duka</t>
  </si>
  <si>
    <t>Morgaine</t>
  </si>
  <si>
    <t>Border Collie/Berner Sennen Mix</t>
  </si>
  <si>
    <t>Estelle</t>
  </si>
  <si>
    <t>Hüter</t>
  </si>
  <si>
    <t>Teddy</t>
  </si>
  <si>
    <t>Weber</t>
  </si>
  <si>
    <t>Cocker Spaniel</t>
  </si>
  <si>
    <t>Vogel</t>
  </si>
  <si>
    <t>(Roxy) Trulyawesome As You Like It</t>
  </si>
  <si>
    <t>Henseler</t>
  </si>
  <si>
    <t>Zettelmeyer</t>
  </si>
  <si>
    <t>Labrador-Border-Mix</t>
  </si>
  <si>
    <t>Coco</t>
  </si>
  <si>
    <t>Chihuahua</t>
  </si>
  <si>
    <t>Grunwald</t>
  </si>
  <si>
    <t>Jacobs</t>
  </si>
  <si>
    <t>Förster</t>
  </si>
  <si>
    <t>Zwergpinscher</t>
  </si>
  <si>
    <t>Waltraud</t>
  </si>
  <si>
    <t>Spitz</t>
  </si>
  <si>
    <t>Faye</t>
  </si>
  <si>
    <t>Franzi</t>
  </si>
  <si>
    <t>Stau</t>
  </si>
  <si>
    <t>Scout</t>
  </si>
  <si>
    <t>Maren</t>
  </si>
  <si>
    <t>Summer</t>
  </si>
  <si>
    <t>Schreiber</t>
  </si>
  <si>
    <t>Bittmann</t>
  </si>
  <si>
    <t>Donna</t>
  </si>
  <si>
    <t>Joe</t>
  </si>
  <si>
    <t>Christoph</t>
  </si>
  <si>
    <t>Janosch</t>
  </si>
  <si>
    <t>Henry</t>
  </si>
  <si>
    <t>Karlson</t>
  </si>
  <si>
    <t>Kansy</t>
  </si>
  <si>
    <t>Juliane</t>
  </si>
  <si>
    <t>Hartmut</t>
  </si>
  <si>
    <t>Shana</t>
  </si>
  <si>
    <t>Jette</t>
  </si>
  <si>
    <t>René</t>
  </si>
  <si>
    <t>Enzo</t>
  </si>
  <si>
    <t>Uschi</t>
  </si>
  <si>
    <t>Collie</t>
  </si>
  <si>
    <t>Gräbner</t>
  </si>
  <si>
    <t>Galgo espanol-Mix</t>
  </si>
  <si>
    <t>Samojede</t>
  </si>
  <si>
    <t>Border Cocker Mix</t>
  </si>
  <si>
    <t>Schüßler</t>
  </si>
  <si>
    <t>Hannel</t>
  </si>
  <si>
    <t>Schramm</t>
  </si>
  <si>
    <t>Rico</t>
  </si>
  <si>
    <t>Annika</t>
  </si>
  <si>
    <t>Tatoo</t>
  </si>
  <si>
    <t>Anita</t>
  </si>
  <si>
    <t>Shari</t>
  </si>
  <si>
    <t>Nr.</t>
  </si>
  <si>
    <t>Kapitän</t>
  </si>
  <si>
    <t>Boxenlader</t>
  </si>
  <si>
    <t>Referenzzeit</t>
  </si>
  <si>
    <t>Emailadresse</t>
  </si>
  <si>
    <t>Bemerkungen</t>
  </si>
  <si>
    <t>Handynummer</t>
  </si>
  <si>
    <t>Power Paws</t>
  </si>
  <si>
    <t>Monica</t>
  </si>
  <si>
    <t>ok</t>
  </si>
  <si>
    <t>messen</t>
  </si>
  <si>
    <t>HF</t>
  </si>
  <si>
    <t>Geb.</t>
  </si>
  <si>
    <t>4HRRDE</t>
  </si>
  <si>
    <t>Cool Racers</t>
  </si>
  <si>
    <t xml:space="preserve">Reinhard </t>
  </si>
  <si>
    <t>Roby</t>
  </si>
  <si>
    <t>18,05</t>
  </si>
  <si>
    <t>romi.trost@aon.at</t>
  </si>
  <si>
    <t>06643/166116</t>
  </si>
  <si>
    <t>Fast'nFurious Flyballteam</t>
  </si>
  <si>
    <t>Gabi Riemer</t>
  </si>
  <si>
    <t xml:space="preserve">Corinna </t>
  </si>
  <si>
    <t>18,39</t>
  </si>
  <si>
    <t>riemer.olaf@freenet.de</t>
  </si>
  <si>
    <t>0173/8126792</t>
  </si>
  <si>
    <t>BayernXpress I</t>
  </si>
  <si>
    <t>19,29</t>
  </si>
  <si>
    <t>dieter_bauer38@web.de</t>
  </si>
  <si>
    <t>0176/312 32 678</t>
  </si>
  <si>
    <t>Manu</t>
  </si>
  <si>
    <t>19,51</t>
  </si>
  <si>
    <t>arianevolkmann@yahoo.com</t>
  </si>
  <si>
    <t>0172-8382101</t>
  </si>
  <si>
    <t>Ready 2 Fly</t>
  </si>
  <si>
    <t>Vanessa + Laura</t>
  </si>
  <si>
    <t>Enrico</t>
  </si>
  <si>
    <t>19,95</t>
  </si>
  <si>
    <t>flyball.ready2fly@web.de</t>
  </si>
  <si>
    <t>0152/057942600</t>
  </si>
  <si>
    <t>Just for Fun</t>
  </si>
  <si>
    <t>20,18</t>
  </si>
  <si>
    <t>frank.p.hoffmann@online.de</t>
  </si>
  <si>
    <t>0175/5681258</t>
  </si>
  <si>
    <t>LETZ FETZ Oberbayern</t>
  </si>
  <si>
    <t>20,28</t>
  </si>
  <si>
    <t>steffi.landeck@gmx.net</t>
  </si>
  <si>
    <t>0174-8810880</t>
  </si>
  <si>
    <t>Speed Jumpers</t>
  </si>
  <si>
    <t>Alessandra</t>
  </si>
  <si>
    <t>Gunnar</t>
  </si>
  <si>
    <t>20,46</t>
  </si>
  <si>
    <t>alessandra.schaerf89@gmail.com</t>
  </si>
  <si>
    <t>0157/56971791</t>
  </si>
  <si>
    <t>Eisteichpfoten</t>
  </si>
  <si>
    <t>20,60</t>
  </si>
  <si>
    <t>katharinahuebner@t-online.de</t>
  </si>
  <si>
    <t>0170/1290733</t>
  </si>
  <si>
    <t>BayernXpress II</t>
  </si>
  <si>
    <t>22,02</t>
  </si>
  <si>
    <t>35,00</t>
  </si>
  <si>
    <t>07.05.2002</t>
  </si>
  <si>
    <t>24.09.2013</t>
  </si>
  <si>
    <t>08.05.2002</t>
  </si>
  <si>
    <t>22.05.2015</t>
  </si>
  <si>
    <t>26.04.2012</t>
  </si>
  <si>
    <t>20.03.2019</t>
  </si>
  <si>
    <t>Mable</t>
  </si>
  <si>
    <t>32,50</t>
  </si>
  <si>
    <t>02.02.2014</t>
  </si>
  <si>
    <t>09.05.2018</t>
  </si>
  <si>
    <t>11.05.2011</t>
  </si>
  <si>
    <t>06.02.2019</t>
  </si>
  <si>
    <t>30,00</t>
  </si>
  <si>
    <t>18.06.2008</t>
  </si>
  <si>
    <t>03.02.2019</t>
  </si>
  <si>
    <t>Herr Holle</t>
  </si>
  <si>
    <t>25,00</t>
  </si>
  <si>
    <t>20.01.2013</t>
  </si>
  <si>
    <t>20.04.2020</t>
  </si>
  <si>
    <t>18.06.2011</t>
  </si>
  <si>
    <t>09.08.2019</t>
  </si>
  <si>
    <t>Radtke</t>
  </si>
  <si>
    <t>11.04.2006</t>
  </si>
  <si>
    <t>28.01.2017</t>
  </si>
  <si>
    <t>Amaroo</t>
  </si>
  <si>
    <t>07.06.2010</t>
  </si>
  <si>
    <t>15.06.2017</t>
  </si>
  <si>
    <t>27,50</t>
  </si>
  <si>
    <t>30.11.2008</t>
  </si>
  <si>
    <t>04.03.2020</t>
  </si>
  <si>
    <t>13.11.2012</t>
  </si>
  <si>
    <t>06.03.2017</t>
  </si>
  <si>
    <t>Wiese</t>
  </si>
  <si>
    <t>15.01.2010</t>
  </si>
  <si>
    <t>01.06.2017</t>
  </si>
  <si>
    <t>Neuse</t>
  </si>
  <si>
    <t>22,50</t>
  </si>
  <si>
    <t>05.05.2006</t>
  </si>
  <si>
    <t>26.05.2018</t>
  </si>
  <si>
    <t>25.05.2007</t>
  </si>
  <si>
    <t>31.08.2019</t>
  </si>
  <si>
    <t>20,00</t>
  </si>
  <si>
    <t>05.03.2007</t>
  </si>
  <si>
    <t>20.06.2020</t>
  </si>
  <si>
    <t>17,50</t>
  </si>
  <si>
    <t>09.12.2006</t>
  </si>
  <si>
    <t>11.03.2020</t>
  </si>
  <si>
    <t>20.10.2004</t>
  </si>
  <si>
    <t>21.03.2018</t>
  </si>
  <si>
    <t>06.03.2005</t>
  </si>
  <si>
    <t>01.04.2019</t>
  </si>
  <si>
    <t>24.06.2007</t>
  </si>
  <si>
    <t>12.07.2019</t>
  </si>
  <si>
    <t>18.05.2008</t>
  </si>
  <si>
    <t>22.07.2018</t>
  </si>
  <si>
    <t>Bruynseels</t>
  </si>
  <si>
    <t>07.11.2005</t>
  </si>
  <si>
    <t>09.03.2019</t>
  </si>
  <si>
    <t>16.02.2005</t>
  </si>
  <si>
    <t>15.03.2017</t>
  </si>
  <si>
    <t>06.06.2005</t>
  </si>
  <si>
    <t>06.06.2018</t>
  </si>
  <si>
    <t xml:space="preserve">Flying Devils Tirol Hot </t>
  </si>
  <si>
    <t>Patrick</t>
  </si>
  <si>
    <t>21.08.2008</t>
  </si>
  <si>
    <t>26.06.2019</t>
  </si>
  <si>
    <t>18.05.2006</t>
  </si>
  <si>
    <t>26.04.2020</t>
  </si>
  <si>
    <t>15.10.2007</t>
  </si>
  <si>
    <t>04.03.2017</t>
  </si>
  <si>
    <t>13.05.2003</t>
  </si>
  <si>
    <t>28.03.2018</t>
  </si>
  <si>
    <t>08.07.2009</t>
  </si>
  <si>
    <t>Großpudel</t>
  </si>
  <si>
    <t>11.06.2009</t>
  </si>
  <si>
    <t>11.01.2020</t>
  </si>
  <si>
    <t xml:space="preserve">Danny </t>
  </si>
  <si>
    <t>13.06.2007</t>
  </si>
  <si>
    <t>17.11.2017</t>
  </si>
  <si>
    <t>10.04.2007</t>
  </si>
  <si>
    <t>19.05.2019</t>
  </si>
  <si>
    <t>19.03.2006</t>
  </si>
  <si>
    <t>15.02.2018</t>
  </si>
  <si>
    <t>01.05.2007</t>
  </si>
  <si>
    <t>13.08.2017</t>
  </si>
  <si>
    <t>13.04.2005</t>
  </si>
  <si>
    <t>02.09.2017</t>
  </si>
  <si>
    <t>Xena</t>
  </si>
  <si>
    <t>Barsoi-Mix</t>
  </si>
  <si>
    <t>Ria Rosa</t>
  </si>
  <si>
    <t>04.10.2009</t>
  </si>
  <si>
    <t>01.02.2008</t>
  </si>
  <si>
    <t>17.06.2017</t>
  </si>
  <si>
    <t>24.03.2008</t>
  </si>
  <si>
    <t>19.04.2018</t>
  </si>
  <si>
    <t>01.01.2006</t>
  </si>
  <si>
    <t>03.03.2020</t>
  </si>
  <si>
    <t>08.09.2006</t>
  </si>
  <si>
    <t>06.08.2018</t>
  </si>
  <si>
    <t>Calypso</t>
  </si>
  <si>
    <t>01.01.2013</t>
  </si>
  <si>
    <t>21.06.2017</t>
  </si>
  <si>
    <t>Lotz</t>
  </si>
  <si>
    <t>27.09.2006</t>
  </si>
  <si>
    <t>02.06.2017</t>
  </si>
  <si>
    <t>20.01.2007</t>
  </si>
  <si>
    <t>18.03.2019</t>
  </si>
  <si>
    <t>04.04.2008</t>
  </si>
  <si>
    <t>06.07.2017</t>
  </si>
  <si>
    <t>06.10.2007</t>
  </si>
  <si>
    <t>20.03.2018</t>
  </si>
  <si>
    <t>01.09.2007</t>
  </si>
  <si>
    <t>16.03.2019</t>
  </si>
  <si>
    <t>19.07.2007</t>
  </si>
  <si>
    <t>19.05.2018</t>
  </si>
  <si>
    <t>20.09.2006</t>
  </si>
  <si>
    <t>08.07.2017</t>
  </si>
  <si>
    <t>25.10.2007</t>
  </si>
  <si>
    <t>19.02.2018</t>
  </si>
  <si>
    <t>06.03.2008</t>
  </si>
  <si>
    <t>27.05.2018</t>
  </si>
  <si>
    <t>Lupina</t>
  </si>
  <si>
    <t>Anne-Kathrin</t>
  </si>
  <si>
    <t>14.01.2009</t>
  </si>
  <si>
    <t>08.06.2017</t>
  </si>
  <si>
    <t>Hofmann</t>
  </si>
  <si>
    <t>24.05.2007</t>
  </si>
  <si>
    <t>28.02.2005</t>
  </si>
  <si>
    <t>Podenco Mix</t>
  </si>
  <si>
    <t>08.05.2006</t>
  </si>
  <si>
    <t>31.07.2018</t>
  </si>
  <si>
    <t>Ebert</t>
  </si>
  <si>
    <t>27.12.2006</t>
  </si>
  <si>
    <t>05.03.2018</t>
  </si>
  <si>
    <t>15.08.2005</t>
  </si>
  <si>
    <t>02.03.2017</t>
  </si>
  <si>
    <t>28.06.2009</t>
  </si>
  <si>
    <t>19.10.2017</t>
  </si>
  <si>
    <t>15.10.2008</t>
  </si>
  <si>
    <t>02.09.2018</t>
  </si>
  <si>
    <t>Hach</t>
  </si>
  <si>
    <t>05.01.2008</t>
  </si>
  <si>
    <t>30.04.2018</t>
  </si>
  <si>
    <t>Sara</t>
  </si>
  <si>
    <t>14.08.2017</t>
  </si>
  <si>
    <t>13.07.2006</t>
  </si>
  <si>
    <t>25.03.2019</t>
  </si>
  <si>
    <t>Nel</t>
  </si>
  <si>
    <t>19.02.2012</t>
  </si>
  <si>
    <t>01.09.2018</t>
  </si>
  <si>
    <t>28.06.2008</t>
  </si>
  <si>
    <t>19.03.2020</t>
  </si>
  <si>
    <t>25.06.2008</t>
  </si>
  <si>
    <t>09.09.2019</t>
  </si>
  <si>
    <t>12.01.2018</t>
  </si>
  <si>
    <t>Caro</t>
  </si>
  <si>
    <t>16.05.2007</t>
  </si>
  <si>
    <t>16.08.2018</t>
  </si>
  <si>
    <t>Naylor-Wittorf</t>
  </si>
  <si>
    <t>01.08.2006</t>
  </si>
  <si>
    <t>16.12.2017</t>
  </si>
  <si>
    <t>09.01.2020</t>
  </si>
  <si>
    <t>25.07.2008</t>
  </si>
  <si>
    <t>01.02.2009</t>
  </si>
  <si>
    <t>21.01.2009</t>
  </si>
  <si>
    <t>13.07.2019</t>
  </si>
  <si>
    <t>Schwarzwälder</t>
  </si>
  <si>
    <t>16.08.2008</t>
  </si>
  <si>
    <t>07.02.2020</t>
  </si>
  <si>
    <t>30.09.2019</t>
  </si>
  <si>
    <t>03.06.2008</t>
  </si>
  <si>
    <t>12.05.2018</t>
  </si>
  <si>
    <t>01.08.2008</t>
  </si>
  <si>
    <t>11.04.2019</t>
  </si>
  <si>
    <t>01.07.2008</t>
  </si>
  <si>
    <t>03.09.2017</t>
  </si>
  <si>
    <t>15.11.2008</t>
  </si>
  <si>
    <t>10.04.2019</t>
  </si>
  <si>
    <t>Border Collie-Podenco-Mix</t>
  </si>
  <si>
    <t>12.01.2007</t>
  </si>
  <si>
    <t>06.04.2018</t>
  </si>
  <si>
    <t>16.10.2018</t>
  </si>
  <si>
    <t>01.03.2006</t>
  </si>
  <si>
    <t>24.07.2017</t>
  </si>
  <si>
    <t>Adameit</t>
  </si>
  <si>
    <t>Pastor Catalan Mix</t>
  </si>
  <si>
    <t>Ka</t>
  </si>
  <si>
    <t>01.08.2007</t>
  </si>
  <si>
    <t>16.07.2017</t>
  </si>
  <si>
    <t>Pastor Vasco Mix</t>
  </si>
  <si>
    <t>04.08.2004</t>
  </si>
  <si>
    <t>13.07.2007</t>
  </si>
  <si>
    <t>01.07.2017</t>
  </si>
  <si>
    <t>02.08.2008</t>
  </si>
  <si>
    <t>08.01.2018</t>
  </si>
  <si>
    <t>07.03.2009</t>
  </si>
  <si>
    <t>09.05.2019</t>
  </si>
  <si>
    <t>01.05.2008</t>
  </si>
  <si>
    <t>Podenco Canario</t>
  </si>
  <si>
    <t>26.11.2007</t>
  </si>
  <si>
    <t>13.05.2019</t>
  </si>
  <si>
    <t>Marco u. Marion</t>
  </si>
  <si>
    <t>10.11.2008</t>
  </si>
  <si>
    <t>21.03.2020</t>
  </si>
  <si>
    <t>14.03.2008</t>
  </si>
  <si>
    <t>03.07.2019</t>
  </si>
  <si>
    <t>Koch-Juling</t>
  </si>
  <si>
    <t>01.03.2009</t>
  </si>
  <si>
    <t>10.06.2018</t>
  </si>
  <si>
    <t>18.04.2008</t>
  </si>
  <si>
    <t>12.01.2020</t>
  </si>
  <si>
    <t>14.03.2009</t>
  </si>
  <si>
    <t>20.07.2017</t>
  </si>
  <si>
    <t>17.08.2008</t>
  </si>
  <si>
    <t>18.01.2018</t>
  </si>
  <si>
    <t>11.08.2008</t>
  </si>
  <si>
    <t>01.04.2017</t>
  </si>
  <si>
    <t>16.04.2020</t>
  </si>
  <si>
    <t>01.09.2008</t>
  </si>
  <si>
    <t>12.05.2017</t>
  </si>
  <si>
    <t>04.06.2005</t>
  </si>
  <si>
    <t>Lucy 1</t>
  </si>
  <si>
    <t>01.11.2005</t>
  </si>
  <si>
    <t>11.08.2017</t>
  </si>
  <si>
    <t>Bachmayer</t>
  </si>
  <si>
    <t>02.10.2008</t>
  </si>
  <si>
    <t>28.06.2019</t>
  </si>
  <si>
    <t>18.10.2008</t>
  </si>
  <si>
    <t>08.03.2018</t>
  </si>
  <si>
    <t>16.04.2009</t>
  </si>
  <si>
    <t>04.04.2017</t>
  </si>
  <si>
    <t>28.10.2009</t>
  </si>
  <si>
    <t>15.02.2009</t>
  </si>
  <si>
    <t>12.03.2018</t>
  </si>
  <si>
    <t>13.06.2009</t>
  </si>
  <si>
    <t>23.09.2019</t>
  </si>
  <si>
    <t>09.05.2010</t>
  </si>
  <si>
    <t>17.07.2007</t>
  </si>
  <si>
    <t>17.02.2018</t>
  </si>
  <si>
    <t>15.09.2008</t>
  </si>
  <si>
    <t>05.12.2019</t>
  </si>
  <si>
    <t>24.10.2010</t>
  </si>
  <si>
    <t>27.02.2018</t>
  </si>
  <si>
    <t>(Tammy) Trulyawesome Snicker Doodle</t>
  </si>
  <si>
    <t>12.12.2007</t>
  </si>
  <si>
    <t>21.02.2018</t>
  </si>
  <si>
    <t>06.03.2009</t>
  </si>
  <si>
    <t>04.06.2017</t>
  </si>
  <si>
    <t>Ilona</t>
  </si>
  <si>
    <t>21.02.2011</t>
  </si>
  <si>
    <t>28.08.2017</t>
  </si>
  <si>
    <t>Lala</t>
  </si>
  <si>
    <t>12.10.2012</t>
  </si>
  <si>
    <t>13.08.2018</t>
  </si>
  <si>
    <t>04.02.2017</t>
  </si>
  <si>
    <t>10.08.2007</t>
  </si>
  <si>
    <t>26.02.2018</t>
  </si>
  <si>
    <t>07.05.2008</t>
  </si>
  <si>
    <t>26.09.2017</t>
  </si>
  <si>
    <t>Chad</t>
  </si>
  <si>
    <t>02.06.2009</t>
  </si>
  <si>
    <t>03.05.2018</t>
  </si>
  <si>
    <t>26.01.2009</t>
  </si>
  <si>
    <t>13.05.2009</t>
  </si>
  <si>
    <t>29.05.2017</t>
  </si>
  <si>
    <t>09.12.2009</t>
  </si>
  <si>
    <t>25.04.2020</t>
  </si>
  <si>
    <t>12.05.2009</t>
  </si>
  <si>
    <t>26.07.2019</t>
  </si>
  <si>
    <t>16.04.2006</t>
  </si>
  <si>
    <t>22.05.2017</t>
  </si>
  <si>
    <t>Rafty</t>
  </si>
  <si>
    <t>19.12.2010</t>
  </si>
  <si>
    <t>24.12.2009</t>
  </si>
  <si>
    <t>11.04.2018</t>
  </si>
  <si>
    <t>19.06.2007</t>
  </si>
  <si>
    <t>01.03.2018</t>
  </si>
  <si>
    <t>Hilchner</t>
  </si>
  <si>
    <t>01.03.2010</t>
  </si>
  <si>
    <t>15.05.2017</t>
  </si>
  <si>
    <t>12.06.2007</t>
  </si>
  <si>
    <t>10.11.2017</t>
  </si>
  <si>
    <t>05.05.2009</t>
  </si>
  <si>
    <t>27.01.2018</t>
  </si>
  <si>
    <t>01.08.2010</t>
  </si>
  <si>
    <t>06.02.2018</t>
  </si>
  <si>
    <t>07.07.2009</t>
  </si>
  <si>
    <t>10.05.2019</t>
  </si>
  <si>
    <t>15.06.2010</t>
  </si>
  <si>
    <t>17.09.2017</t>
  </si>
  <si>
    <t>20.05.2017</t>
  </si>
  <si>
    <t>01.07.2010</t>
  </si>
  <si>
    <t>04.12.2017</t>
  </si>
  <si>
    <t>16.02.2010</t>
  </si>
  <si>
    <t>04.05.2019</t>
  </si>
  <si>
    <t>Andreas Diane</t>
  </si>
  <si>
    <t>09.06.2010</t>
  </si>
  <si>
    <t>Schmieg Raßloff</t>
  </si>
  <si>
    <t>Julian</t>
  </si>
  <si>
    <t>23.11.2007</t>
  </si>
  <si>
    <t>06.03.2020</t>
  </si>
  <si>
    <t>08.10.2009</t>
  </si>
  <si>
    <t>21.03.2019</t>
  </si>
  <si>
    <t>07.06.2006</t>
  </si>
  <si>
    <t>02.11.2019</t>
  </si>
  <si>
    <t xml:space="preserve">Angela </t>
  </si>
  <si>
    <t>30.05.2010</t>
  </si>
  <si>
    <t>25.09.2018</t>
  </si>
  <si>
    <t>05.07.2009</t>
  </si>
  <si>
    <t>28.10.2017</t>
  </si>
  <si>
    <t>25.06.2010</t>
  </si>
  <si>
    <t>20.02.2018</t>
  </si>
  <si>
    <t>21.04.2008</t>
  </si>
  <si>
    <t>05.07.2018</t>
  </si>
  <si>
    <t>Bine</t>
  </si>
  <si>
    <t>31.10.2009</t>
  </si>
  <si>
    <t>29.01.2018</t>
  </si>
  <si>
    <t>13.01.2010</t>
  </si>
  <si>
    <t>07.04.2020</t>
  </si>
  <si>
    <t>10.05.2010</t>
  </si>
  <si>
    <t>14.01.2010</t>
  </si>
  <si>
    <t>30.03.2020</t>
  </si>
  <si>
    <t>07.08.2010</t>
  </si>
  <si>
    <t>15.05.2019</t>
  </si>
  <si>
    <t>18.04.2020</t>
  </si>
  <si>
    <t>11.09.2006</t>
  </si>
  <si>
    <t>11.04.2020</t>
  </si>
  <si>
    <t>14.07.2010</t>
  </si>
  <si>
    <t>18.12.2019</t>
  </si>
  <si>
    <t>Faye S</t>
  </si>
  <si>
    <t>20.05.2009</t>
  </si>
  <si>
    <t>28.08.2018</t>
  </si>
  <si>
    <t>28.08.2010</t>
  </si>
  <si>
    <t>08.04.2017</t>
  </si>
  <si>
    <t>17.11.2010</t>
  </si>
  <si>
    <t>28.01.2008</t>
  </si>
  <si>
    <t>13.03.2020</t>
  </si>
  <si>
    <t>29.03.2007</t>
  </si>
  <si>
    <t>14.02.2020</t>
  </si>
  <si>
    <t>21.11.2010</t>
  </si>
  <si>
    <t>29.04.2017</t>
  </si>
  <si>
    <t>11.07.2009</t>
  </si>
  <si>
    <t>28.02.2019</t>
  </si>
  <si>
    <t>01.04.2009</t>
  </si>
  <si>
    <t>22.07.2017</t>
  </si>
  <si>
    <t>Schneider-Lübbke</t>
  </si>
  <si>
    <t>28.08.2009</t>
  </si>
  <si>
    <t>24.01.2017</t>
  </si>
  <si>
    <t>01.12.2010</t>
  </si>
  <si>
    <t>23.03.2017</t>
  </si>
  <si>
    <t>Böcker</t>
  </si>
  <si>
    <t>28.11.2010</t>
  </si>
  <si>
    <t>01.09.2010</t>
  </si>
  <si>
    <t>05.02.2018</t>
  </si>
  <si>
    <t>31.03.2008</t>
  </si>
  <si>
    <t>06.01.2011</t>
  </si>
  <si>
    <t>25.10.2018</t>
  </si>
  <si>
    <t>Feist-Thörner</t>
  </si>
  <si>
    <t>08.06.2019</t>
  </si>
  <si>
    <t>Nachtigall</t>
  </si>
  <si>
    <t>02.02.2008</t>
  </si>
  <si>
    <t>10.03.2019</t>
  </si>
  <si>
    <t>Nautascher</t>
  </si>
  <si>
    <t>04.11.2010</t>
  </si>
  <si>
    <t>14.10.2010</t>
  </si>
  <si>
    <t>01.05.2018</t>
  </si>
  <si>
    <t>Sheltie-kromfohrländer-mix</t>
  </si>
  <si>
    <t>11.01.2009</t>
  </si>
  <si>
    <t>04.05.2017</t>
  </si>
  <si>
    <t>von der Decken</t>
  </si>
  <si>
    <t>26.03.2010</t>
  </si>
  <si>
    <t>Lissy</t>
  </si>
  <si>
    <t>20.10.2010</t>
  </si>
  <si>
    <t>04.02.2018</t>
  </si>
  <si>
    <t>Rudolf</t>
  </si>
  <si>
    <t>05.04.2011</t>
  </si>
  <si>
    <t>11.02.2018</t>
  </si>
  <si>
    <t>10.12.2009</t>
  </si>
  <si>
    <t>Asko</t>
  </si>
  <si>
    <t>Appenzeller</t>
  </si>
  <si>
    <t>12.04.2010</t>
  </si>
  <si>
    <t>01.07.2018</t>
  </si>
  <si>
    <t>Korte</t>
  </si>
  <si>
    <t>08.01.2008</t>
  </si>
  <si>
    <t>22.03.2018</t>
  </si>
  <si>
    <t>Dethlefsen</t>
  </si>
  <si>
    <t>Holger</t>
  </si>
  <si>
    <t>04.07.2008</t>
  </si>
  <si>
    <t>10.09.2017</t>
  </si>
  <si>
    <t>Bockenhaus</t>
  </si>
  <si>
    <t>08.05.2010</t>
  </si>
  <si>
    <t>12.08.2017</t>
  </si>
  <si>
    <t>Feldkamp</t>
  </si>
  <si>
    <t>Monja</t>
  </si>
  <si>
    <t>27.06.2011</t>
  </si>
  <si>
    <t>04.01.2017</t>
  </si>
  <si>
    <t>Kohlhepp</t>
  </si>
  <si>
    <t>Jorgo</t>
  </si>
  <si>
    <t>15.12.2005</t>
  </si>
  <si>
    <t>02.03.2020</t>
  </si>
  <si>
    <t>Fache</t>
  </si>
  <si>
    <t>Nikki</t>
  </si>
  <si>
    <t>01.01.2011</t>
  </si>
  <si>
    <t>Trüffel</t>
  </si>
  <si>
    <t>25.12.2009</t>
  </si>
  <si>
    <t>19.02.2019</t>
  </si>
  <si>
    <t>Weinseisen</t>
  </si>
  <si>
    <t>16.09.2009</t>
  </si>
  <si>
    <t>24.03.2018</t>
  </si>
  <si>
    <t>Maierl</t>
  </si>
  <si>
    <t>23.01.2011</t>
  </si>
  <si>
    <t>16.06.2017</t>
  </si>
  <si>
    <t>Barnabas</t>
  </si>
  <si>
    <t>Australian Shepherd-Labrador-Mix</t>
  </si>
  <si>
    <t>Lorena</t>
  </si>
  <si>
    <t>24.06.2010</t>
  </si>
  <si>
    <t>06.11.2017</t>
  </si>
  <si>
    <t>Bargel</t>
  </si>
  <si>
    <t>Dori</t>
  </si>
  <si>
    <t>Ulli</t>
  </si>
  <si>
    <t>21.07.2018</t>
  </si>
  <si>
    <t>Fee (Grace von Hamels Hof)</t>
  </si>
  <si>
    <t>Willi</t>
  </si>
  <si>
    <t>22.09.2011</t>
  </si>
  <si>
    <t>22.02.2020</t>
  </si>
  <si>
    <t>Frodo</t>
  </si>
  <si>
    <t>Nils</t>
  </si>
  <si>
    <t>08.06.2010</t>
  </si>
  <si>
    <t>Bärbel</t>
  </si>
  <si>
    <t>02.02.2009</t>
  </si>
  <si>
    <t>24.03.2020</t>
  </si>
  <si>
    <t>Egermaier</t>
  </si>
  <si>
    <t>Quito</t>
  </si>
  <si>
    <t>24.06.2017</t>
  </si>
  <si>
    <t>01.04.2011</t>
  </si>
  <si>
    <t>10.08.2017</t>
  </si>
  <si>
    <t>Heydasch</t>
  </si>
  <si>
    <t>16.07.2007</t>
  </si>
  <si>
    <t>10.10.2018</t>
  </si>
  <si>
    <t>22.09.2010</t>
  </si>
  <si>
    <t>23.03.2019</t>
  </si>
  <si>
    <t>Mila</t>
  </si>
  <si>
    <t>Andres</t>
  </si>
  <si>
    <t>18.12.2008</t>
  </si>
  <si>
    <t>29.06.2017</t>
  </si>
  <si>
    <t>Perez Prado</t>
  </si>
  <si>
    <t>08.01.2006</t>
  </si>
  <si>
    <t>02.05.2019</t>
  </si>
  <si>
    <t>23.08.2008</t>
  </si>
  <si>
    <t>07.07.2017</t>
  </si>
  <si>
    <t>Turbo</t>
  </si>
  <si>
    <t>13.07.2011</t>
  </si>
  <si>
    <t>24.03.2017</t>
  </si>
  <si>
    <t>05.01.2010</t>
  </si>
  <si>
    <t>14.09.2018</t>
  </si>
  <si>
    <t>Woköck</t>
  </si>
  <si>
    <t>Ridgeback-Boxer Mix</t>
  </si>
  <si>
    <t>28.07.2011</t>
  </si>
  <si>
    <t>23.05.2010</t>
  </si>
  <si>
    <t>Janina</t>
  </si>
  <si>
    <t>11.02.2011</t>
  </si>
  <si>
    <t>07.07.2018</t>
  </si>
  <si>
    <t>Fritsche</t>
  </si>
  <si>
    <t>Bailey</t>
  </si>
  <si>
    <t>13.05.2011</t>
  </si>
  <si>
    <t>02.07.2018</t>
  </si>
  <si>
    <t>Caspar</t>
  </si>
  <si>
    <t>Bernd</t>
  </si>
  <si>
    <t>12.06.2010</t>
  </si>
  <si>
    <t>21.10.2018</t>
  </si>
  <si>
    <t>Fidele</t>
  </si>
  <si>
    <t>25.08.2007</t>
  </si>
  <si>
    <t>29.03.2018</t>
  </si>
  <si>
    <t>(Flipper) Trulyawesome Citizen Kane</t>
  </si>
  <si>
    <t>15.05.2011</t>
  </si>
  <si>
    <t>Mandu</t>
  </si>
  <si>
    <t>10.02.2010</t>
  </si>
  <si>
    <t>04.08.2019</t>
  </si>
  <si>
    <t>Biedenkopf</t>
  </si>
  <si>
    <t>Luis</t>
  </si>
  <si>
    <t>20.02.2010</t>
  </si>
  <si>
    <t>Kreicker</t>
  </si>
  <si>
    <t>29.09.2012</t>
  </si>
  <si>
    <t>18.12.2017</t>
  </si>
  <si>
    <t>Klaus</t>
  </si>
  <si>
    <t>31.12.2009</t>
  </si>
  <si>
    <t>25.05.2017</t>
  </si>
  <si>
    <t>16.07.2009</t>
  </si>
  <si>
    <t>03.05.2019</t>
  </si>
  <si>
    <t>Zimmer</t>
  </si>
  <si>
    <t>Liam</t>
  </si>
  <si>
    <t>13.01.2018</t>
  </si>
  <si>
    <t>Doris</t>
  </si>
  <si>
    <t>03.02.2011</t>
  </si>
  <si>
    <t>30.03.2018</t>
  </si>
  <si>
    <t>Köpfler-Nau</t>
  </si>
  <si>
    <t>29.12.2011</t>
  </si>
  <si>
    <t>14.04.2017</t>
  </si>
  <si>
    <t>Curly Coated Retriever</t>
  </si>
  <si>
    <t>28.04.2011</t>
  </si>
  <si>
    <t>Drescher</t>
  </si>
  <si>
    <t>Trio</t>
  </si>
  <si>
    <t>24.03.2011</t>
  </si>
  <si>
    <t>Kunar</t>
  </si>
  <si>
    <t>17.03.2009</t>
  </si>
  <si>
    <t>Cyrano</t>
  </si>
  <si>
    <t>30.07.2009</t>
  </si>
  <si>
    <t>12.02.2018</t>
  </si>
  <si>
    <t>Mohr</t>
  </si>
  <si>
    <t>30.06.2010</t>
  </si>
  <si>
    <t>24.01.2019</t>
  </si>
  <si>
    <t>Bechtel</t>
  </si>
  <si>
    <t>30.05.2008</t>
  </si>
  <si>
    <t>26.01.2017</t>
  </si>
  <si>
    <t>Luft</t>
  </si>
  <si>
    <t>Lif (Gaga von Hamels Hof)</t>
  </si>
  <si>
    <t>Irina</t>
  </si>
  <si>
    <t>31.12.2017</t>
  </si>
  <si>
    <t>Saggel</t>
  </si>
  <si>
    <t>Mina</t>
  </si>
  <si>
    <t>23.03.2009</t>
  </si>
  <si>
    <t>20.06.2018</t>
  </si>
  <si>
    <t>Zimmerle</t>
  </si>
  <si>
    <t>Celina</t>
  </si>
  <si>
    <t>24.02.2010</t>
  </si>
  <si>
    <t>Benno</t>
  </si>
  <si>
    <t>01.03.2011</t>
  </si>
  <si>
    <t>10.05.2017</t>
  </si>
  <si>
    <t>Heisterkamp</t>
  </si>
  <si>
    <t>Lui</t>
  </si>
  <si>
    <t>14.04.2011</t>
  </si>
  <si>
    <t>12.08.2018</t>
  </si>
  <si>
    <t>Rose</t>
  </si>
  <si>
    <t>Ann Katrin</t>
  </si>
  <si>
    <t>08.12.2011</t>
  </si>
  <si>
    <t>04.04.2019</t>
  </si>
  <si>
    <t>Schuppel</t>
  </si>
  <si>
    <t>Malta MIX</t>
  </si>
  <si>
    <t>01.04.2010</t>
  </si>
  <si>
    <t>18.03.2018</t>
  </si>
  <si>
    <t>Sellmeyer</t>
  </si>
  <si>
    <t>Bing Bang Boom ( Mecky)</t>
  </si>
  <si>
    <t>09.06.2011</t>
  </si>
  <si>
    <t>Maggie</t>
  </si>
  <si>
    <t>Catharina</t>
  </si>
  <si>
    <t>30.12.2010</t>
  </si>
  <si>
    <t>06.03.2011</t>
  </si>
  <si>
    <t>25.06.2017</t>
  </si>
  <si>
    <t>Hübner</t>
  </si>
  <si>
    <t>Jordi</t>
  </si>
  <si>
    <t>19.06.2010</t>
  </si>
  <si>
    <t>07.09.2018</t>
  </si>
  <si>
    <t>Benker</t>
  </si>
  <si>
    <t>Kyra</t>
  </si>
  <si>
    <t>14.02.2010</t>
  </si>
  <si>
    <t>06.05.2018</t>
  </si>
  <si>
    <t>Forrest</t>
  </si>
  <si>
    <t>22.06.2011</t>
  </si>
  <si>
    <t>16.03.2018</t>
  </si>
  <si>
    <t>25.08.2018</t>
  </si>
  <si>
    <t>Eyota</t>
  </si>
  <si>
    <t>Lukas</t>
  </si>
  <si>
    <t>17.06.2011</t>
  </si>
  <si>
    <t>15.09.2017</t>
  </si>
  <si>
    <t>17.06.2004</t>
  </si>
  <si>
    <t>26.05.2017</t>
  </si>
  <si>
    <t>05.09.2010</t>
  </si>
  <si>
    <t>19.06.2018</t>
  </si>
  <si>
    <t>Zink</t>
  </si>
  <si>
    <t>01.10.2009</t>
  </si>
  <si>
    <t>13.04.2018</t>
  </si>
  <si>
    <t>Voigt</t>
  </si>
  <si>
    <t xml:space="preserve">Jill </t>
  </si>
  <si>
    <t>11.06.2011</t>
  </si>
  <si>
    <t>15.01.2018</t>
  </si>
  <si>
    <t xml:space="preserve">Heike </t>
  </si>
  <si>
    <t>28.01.2006</t>
  </si>
  <si>
    <t>Romi</t>
  </si>
  <si>
    <t>22.04.2008</t>
  </si>
  <si>
    <t>21.05.2017</t>
  </si>
  <si>
    <t>Trost</t>
  </si>
  <si>
    <t>Presa Canario-Mix</t>
  </si>
  <si>
    <t>Tobias/Lana</t>
  </si>
  <si>
    <t>25.10.2019</t>
  </si>
  <si>
    <t>Schmitt/Bloch</t>
  </si>
  <si>
    <t>Daimon</t>
  </si>
  <si>
    <t>Malika</t>
  </si>
  <si>
    <t>20.11.2009</t>
  </si>
  <si>
    <t>(Sandy)True Faces Pretty Woman</t>
  </si>
  <si>
    <t>19.03.2012</t>
  </si>
  <si>
    <t>Litters</t>
  </si>
  <si>
    <t>Sandro</t>
  </si>
  <si>
    <t>Mary</t>
  </si>
  <si>
    <t>18.02.2018</t>
  </si>
  <si>
    <t>Thommy</t>
  </si>
  <si>
    <t>20.03.2012</t>
  </si>
  <si>
    <t>(Melody) Wildsongs Melody of Yankee Doodle</t>
  </si>
  <si>
    <t>05.04.2012</t>
  </si>
  <si>
    <t>(Lio) Wildsongs Make Me Sing Yankee Doodle</t>
  </si>
  <si>
    <t>04.07.2019</t>
  </si>
  <si>
    <t>Arbogast</t>
  </si>
  <si>
    <t>Raffi (Sawdust Knowlege is Power)</t>
  </si>
  <si>
    <t>Pati</t>
  </si>
  <si>
    <t>05.02.2012</t>
  </si>
  <si>
    <t>Marx</t>
  </si>
  <si>
    <t xml:space="preserve">Ann-Kathrin </t>
  </si>
  <si>
    <t>12.08.2011</t>
  </si>
  <si>
    <t>03.01.2017</t>
  </si>
  <si>
    <t xml:space="preserve">Iris </t>
  </si>
  <si>
    <t>15.07.2019</t>
  </si>
  <si>
    <t>Lutterbeck</t>
  </si>
  <si>
    <t>Harry</t>
  </si>
  <si>
    <t>Frank und Susi</t>
  </si>
  <si>
    <t>15.06.2012</t>
  </si>
  <si>
    <t>18.09.2019</t>
  </si>
  <si>
    <t>Siegmund</t>
  </si>
  <si>
    <t>Rigo</t>
  </si>
  <si>
    <t>10.03.2010</t>
  </si>
  <si>
    <t>01.12.2017</t>
  </si>
  <si>
    <t>Kohlhofer</t>
  </si>
  <si>
    <t>09.05.2007</t>
  </si>
  <si>
    <t>06.03.2018</t>
  </si>
  <si>
    <t>Zumpf</t>
  </si>
  <si>
    <t>Hollandse Herdershond</t>
  </si>
  <si>
    <t>06.04.2012</t>
  </si>
  <si>
    <t>18.06.2019</t>
  </si>
  <si>
    <t>Peppi</t>
  </si>
  <si>
    <t>Mops</t>
  </si>
  <si>
    <t>Cilla</t>
  </si>
  <si>
    <t>18.01.2012</t>
  </si>
  <si>
    <t>28.03.2020</t>
  </si>
  <si>
    <t>Attenberger</t>
  </si>
  <si>
    <t>01.07.2011</t>
  </si>
  <si>
    <t>Popp</t>
  </si>
  <si>
    <t>26.12.2005</t>
  </si>
  <si>
    <t>Sporer</t>
  </si>
  <si>
    <t>Chaz</t>
  </si>
  <si>
    <t>03.07.2012</t>
  </si>
  <si>
    <t>29.09.2018</t>
  </si>
  <si>
    <t>Krahn</t>
  </si>
  <si>
    <t>Lino</t>
  </si>
  <si>
    <t>16.10.2017</t>
  </si>
  <si>
    <t>Steffen und Judith</t>
  </si>
  <si>
    <t>15.02.2013</t>
  </si>
  <si>
    <t>13.05.2017</t>
  </si>
  <si>
    <t>Schleich</t>
  </si>
  <si>
    <t>Axel</t>
  </si>
  <si>
    <t>25.07.2007</t>
  </si>
  <si>
    <t>16.03.2010</t>
  </si>
  <si>
    <t>24.03.2019</t>
  </si>
  <si>
    <t>Nika</t>
  </si>
  <si>
    <t>09.12.2012</t>
  </si>
  <si>
    <t>Caspare</t>
  </si>
  <si>
    <t>22.11.2012</t>
  </si>
  <si>
    <t>Fley</t>
  </si>
  <si>
    <t>23.11.2011</t>
  </si>
  <si>
    <t>08.05.2020</t>
  </si>
  <si>
    <t>29.03.2011</t>
  </si>
  <si>
    <t>10.07.2019</t>
  </si>
  <si>
    <t>27.04.2012</t>
  </si>
  <si>
    <t>18.02.2017</t>
  </si>
  <si>
    <t>Mignon</t>
  </si>
  <si>
    <t>Rottweiler</t>
  </si>
  <si>
    <t>Julija</t>
  </si>
  <si>
    <t>11.08.2010</t>
  </si>
  <si>
    <t>05.04.2018</t>
  </si>
  <si>
    <t>Schaf</t>
  </si>
  <si>
    <t>Jagdterriermix</t>
  </si>
  <si>
    <t>11.07.2010</t>
  </si>
  <si>
    <t>01.11.2017</t>
  </si>
  <si>
    <t>Kalimero</t>
  </si>
  <si>
    <t>18.12.2011</t>
  </si>
  <si>
    <t>Leretz</t>
  </si>
  <si>
    <t>14.09.2009</t>
  </si>
  <si>
    <t>30.09.2017</t>
  </si>
  <si>
    <t>Lottikarotti</t>
  </si>
  <si>
    <t>Didi</t>
  </si>
  <si>
    <t>01.02.2013</t>
  </si>
  <si>
    <t>Phil</t>
  </si>
  <si>
    <t>07.05.2012</t>
  </si>
  <si>
    <t>14.06.2006</t>
  </si>
  <si>
    <t>31.08.2017</t>
  </si>
  <si>
    <t>Mack</t>
  </si>
  <si>
    <t>Yara</t>
  </si>
  <si>
    <t xml:space="preserve">Lisa </t>
  </si>
  <si>
    <t>15.07.2007</t>
  </si>
  <si>
    <t>22.06.2019</t>
  </si>
  <si>
    <t>Edith</t>
  </si>
  <si>
    <t>28.03.2010</t>
  </si>
  <si>
    <t>07.06.2018</t>
  </si>
  <si>
    <t>Dörfler</t>
  </si>
  <si>
    <t>Ninka</t>
  </si>
  <si>
    <t>07.12.2012</t>
  </si>
  <si>
    <t>Wälde</t>
  </si>
  <si>
    <t>05.04.2009</t>
  </si>
  <si>
    <t>31.03.2017</t>
  </si>
  <si>
    <t>Preuss</t>
  </si>
  <si>
    <t>Ingelore</t>
  </si>
  <si>
    <t>15.12.2008</t>
  </si>
  <si>
    <t>01.04.2018</t>
  </si>
  <si>
    <t>Patt</t>
  </si>
  <si>
    <t>08.01.2012</t>
  </si>
  <si>
    <t>27.03.2018</t>
  </si>
  <si>
    <t>Skip</t>
  </si>
  <si>
    <t>06.04.2009</t>
  </si>
  <si>
    <t>Vollgas Sam</t>
  </si>
  <si>
    <t>Berthold</t>
  </si>
  <si>
    <t>Carmen</t>
  </si>
  <si>
    <t>03.03.2012</t>
  </si>
  <si>
    <t>24.08.2018</t>
  </si>
  <si>
    <t>Krammel</t>
  </si>
  <si>
    <t>07.09.2007</t>
  </si>
  <si>
    <t>22.12.2018</t>
  </si>
  <si>
    <t>Suppmayer</t>
  </si>
  <si>
    <t>29.04.2008</t>
  </si>
  <si>
    <t>Mutz</t>
  </si>
  <si>
    <t>13.10.2007</t>
  </si>
  <si>
    <t>24.09.2018</t>
  </si>
  <si>
    <t>Gudrun</t>
  </si>
  <si>
    <t>04.10.2010</t>
  </si>
  <si>
    <t>Keller</t>
  </si>
  <si>
    <t>Theo</t>
  </si>
  <si>
    <t>01.11.2011</t>
  </si>
  <si>
    <t>26.05.2019</t>
  </si>
  <si>
    <t>Blayke</t>
  </si>
  <si>
    <t>23.10.2009</t>
  </si>
  <si>
    <t>17.03.2018</t>
  </si>
  <si>
    <t>Tobi</t>
  </si>
  <si>
    <t>Sascha</t>
  </si>
  <si>
    <t>01.08.2012</t>
  </si>
  <si>
    <t>23.10.2018</t>
  </si>
  <si>
    <t>Holtz</t>
  </si>
  <si>
    <t>Makani</t>
  </si>
  <si>
    <t>19.04.2012</t>
  </si>
  <si>
    <t>27.07.2017</t>
  </si>
  <si>
    <t>Alpha</t>
  </si>
  <si>
    <t>30.11.2007</t>
  </si>
  <si>
    <t>13.10.2017</t>
  </si>
  <si>
    <t>Menges</t>
  </si>
  <si>
    <t>Betty</t>
  </si>
  <si>
    <t>Kromfohrländer</t>
  </si>
  <si>
    <t>Marietta</t>
  </si>
  <si>
    <t>27.08.2012</t>
  </si>
  <si>
    <t>04.04.2020</t>
  </si>
  <si>
    <t>Magyar Agár - Mix</t>
  </si>
  <si>
    <t>03.11.2018</t>
  </si>
  <si>
    <t>12.03.2011</t>
  </si>
  <si>
    <t>14.06.2018</t>
  </si>
  <si>
    <t>Neuen</t>
  </si>
  <si>
    <t>09.05.2011</t>
  </si>
  <si>
    <t>16.04.2018</t>
  </si>
  <si>
    <t>14.08.2010</t>
  </si>
  <si>
    <t>10.12.2018</t>
  </si>
  <si>
    <t>03.03.2009</t>
  </si>
  <si>
    <t>29.06.2019</t>
  </si>
  <si>
    <t>Wimmer</t>
  </si>
  <si>
    <t>19.04.2011</t>
  </si>
  <si>
    <t>Temmy</t>
  </si>
  <si>
    <t>Borecki</t>
  </si>
  <si>
    <t>24.07.2012</t>
  </si>
  <si>
    <t>14.12.2019</t>
  </si>
  <si>
    <t>Björn</t>
  </si>
  <si>
    <t>14.04.2009</t>
  </si>
  <si>
    <t>30.04.2019</t>
  </si>
  <si>
    <t>Kirmse</t>
  </si>
  <si>
    <t>Rosi</t>
  </si>
  <si>
    <t>26.07.2009</t>
  </si>
  <si>
    <t>Berger</t>
  </si>
  <si>
    <t>15.09.2010</t>
  </si>
  <si>
    <t>04.03.2018</t>
  </si>
  <si>
    <t>Gebauer</t>
  </si>
  <si>
    <t>Scarlett</t>
  </si>
  <si>
    <t>Meike</t>
  </si>
  <si>
    <t>07.03.2008</t>
  </si>
  <si>
    <t>25.04.2017</t>
  </si>
  <si>
    <t>Wendt</t>
  </si>
  <si>
    <t>23.10.2012</t>
  </si>
  <si>
    <t>21.02.2020</t>
  </si>
  <si>
    <t>Abbs</t>
  </si>
  <si>
    <t>Franzis</t>
  </si>
  <si>
    <t>21.03.2013</t>
  </si>
  <si>
    <t>Johnny</t>
  </si>
  <si>
    <t>Vanessa</t>
  </si>
  <si>
    <t>Hollweg</t>
  </si>
  <si>
    <t>24.09.2012</t>
  </si>
  <si>
    <t>19.11.2017</t>
  </si>
  <si>
    <t>03.07.2006</t>
  </si>
  <si>
    <t>14.01.2019</t>
  </si>
  <si>
    <t>26.10.2008</t>
  </si>
  <si>
    <t>Mali</t>
  </si>
  <si>
    <t>02.07.2009</t>
  </si>
  <si>
    <t>21.01.2019</t>
  </si>
  <si>
    <t>26.04.2017</t>
  </si>
  <si>
    <t>Mia</t>
  </si>
  <si>
    <t>19.01.2017</t>
  </si>
  <si>
    <t>Jipsy</t>
  </si>
  <si>
    <t>15.03.2010</t>
  </si>
  <si>
    <t>07.09.2011</t>
  </si>
  <si>
    <t>20.08.2012</t>
  </si>
  <si>
    <t>09.04.2018</t>
  </si>
  <si>
    <t>Riehm-Pröpper</t>
  </si>
  <si>
    <t>03.03.2011</t>
  </si>
  <si>
    <t>01.01.2017</t>
  </si>
  <si>
    <t>21.08.2011</t>
  </si>
  <si>
    <t>11.05.2017</t>
  </si>
  <si>
    <t>Ranft</t>
  </si>
  <si>
    <t>Whiskey</t>
  </si>
  <si>
    <t>27.12.2012</t>
  </si>
  <si>
    <t>15.03.2018</t>
  </si>
  <si>
    <t>Rodemann</t>
  </si>
  <si>
    <t>15.07.2011</t>
  </si>
  <si>
    <t>Sheriff</t>
  </si>
  <si>
    <t>Sophie</t>
  </si>
  <si>
    <t>JayJay</t>
  </si>
  <si>
    <t>10.04.2013</t>
  </si>
  <si>
    <t>17.07.2017</t>
  </si>
  <si>
    <t>(Cayden) High Mountain Easy Way of Life</t>
  </si>
  <si>
    <t>14.11.2010</t>
  </si>
  <si>
    <t>21.04.2018</t>
  </si>
  <si>
    <t>Kiem-Krämer</t>
  </si>
  <si>
    <t>American Shepherd</t>
  </si>
  <si>
    <t>01.12.2008</t>
  </si>
  <si>
    <t>10.02.2019</t>
  </si>
  <si>
    <t xml:space="preserve">Frank </t>
  </si>
  <si>
    <t>12.06.2005</t>
  </si>
  <si>
    <t>16.02.2019</t>
  </si>
  <si>
    <t>Remus</t>
  </si>
  <si>
    <t>27.08.2019</t>
  </si>
  <si>
    <t xml:space="preserve">Holger </t>
  </si>
  <si>
    <t>22.05.2012</t>
  </si>
  <si>
    <t>21.08.2017</t>
  </si>
  <si>
    <t>Moll</t>
  </si>
  <si>
    <t>22.10.2008</t>
  </si>
  <si>
    <t>Morgret</t>
  </si>
  <si>
    <t>03.05.2011</t>
  </si>
  <si>
    <t>30.01.2018</t>
  </si>
  <si>
    <t>Grisu</t>
  </si>
  <si>
    <t>27.07.2018</t>
  </si>
  <si>
    <t xml:space="preserve">Gerd </t>
  </si>
  <si>
    <t>20.09.2007</t>
  </si>
  <si>
    <t>23.02.2019</t>
  </si>
  <si>
    <t>30.03.2011</t>
  </si>
  <si>
    <t>Bobby</t>
  </si>
  <si>
    <t>22.07.2012</t>
  </si>
  <si>
    <t>02.12.2017</t>
  </si>
  <si>
    <t>Samweis</t>
  </si>
  <si>
    <t>28.07.2012</t>
  </si>
  <si>
    <t>07.10.2017</t>
  </si>
  <si>
    <t>Moser</t>
  </si>
  <si>
    <t>Dante</t>
  </si>
  <si>
    <t>06.10.2010</t>
  </si>
  <si>
    <t>21.04.2019</t>
  </si>
  <si>
    <t>14.10.2009</t>
  </si>
  <si>
    <t>Herzberger-Frey</t>
  </si>
  <si>
    <t>08.03.2013</t>
  </si>
  <si>
    <t>10.07.2017</t>
  </si>
  <si>
    <t>Wansing</t>
  </si>
  <si>
    <t>Täumer</t>
  </si>
  <si>
    <t>Punto</t>
  </si>
  <si>
    <t>20.04.2013</t>
  </si>
  <si>
    <t>12.07.2017</t>
  </si>
  <si>
    <t>10.06.2013</t>
  </si>
  <si>
    <t>16.09.2017</t>
  </si>
  <si>
    <t>Rocca</t>
  </si>
  <si>
    <t>01.05.2013</t>
  </si>
  <si>
    <t>20.09.2017</t>
  </si>
  <si>
    <t>Düren</t>
  </si>
  <si>
    <t>07.06.2012</t>
  </si>
  <si>
    <t>Riedesser</t>
  </si>
  <si>
    <t>Lola</t>
  </si>
  <si>
    <t>12.04.2013</t>
  </si>
  <si>
    <t>25.07.2018</t>
  </si>
  <si>
    <t>Jody</t>
  </si>
  <si>
    <t>26.06.2013</t>
  </si>
  <si>
    <t>27.08.2017</t>
  </si>
  <si>
    <t>Boo</t>
  </si>
  <si>
    <t>16.05.2013</t>
  </si>
  <si>
    <t>01.09.2019</t>
  </si>
  <si>
    <t>Zausel</t>
  </si>
  <si>
    <t>20.02.2011</t>
  </si>
  <si>
    <t>05.06.2017</t>
  </si>
  <si>
    <t>Niemeier</t>
  </si>
  <si>
    <t>Amelie</t>
  </si>
  <si>
    <t>Reinhard</t>
  </si>
  <si>
    <t>04.06.2013</t>
  </si>
  <si>
    <t>Müsli</t>
  </si>
  <si>
    <t>13.07.2013</t>
  </si>
  <si>
    <t>Fritzsche</t>
  </si>
  <si>
    <t>Amy_1</t>
  </si>
  <si>
    <t>02.10.2013</t>
  </si>
  <si>
    <t>07.01.2018</t>
  </si>
  <si>
    <t>Gärtner</t>
  </si>
  <si>
    <t>15.10.2013</t>
  </si>
  <si>
    <t>01.01.2019</t>
  </si>
  <si>
    <t>Lagocki</t>
  </si>
  <si>
    <t>Cajou-Ila</t>
  </si>
  <si>
    <t>05.03.2013</t>
  </si>
  <si>
    <t>14.05.2017</t>
  </si>
  <si>
    <t>Lennert</t>
  </si>
  <si>
    <t>Ann-Katrin</t>
  </si>
  <si>
    <t>14.04.2013</t>
  </si>
  <si>
    <t>27.07.2010</t>
  </si>
  <si>
    <t>24.11.2017</t>
  </si>
  <si>
    <t>Statescu</t>
  </si>
  <si>
    <t>Flat Coated Labrador</t>
  </si>
  <si>
    <t>06.03.2013</t>
  </si>
  <si>
    <t>Hartmann</t>
  </si>
  <si>
    <t>Tinka</t>
  </si>
  <si>
    <t>02.09.2013</t>
  </si>
  <si>
    <t>Svenja</t>
  </si>
  <si>
    <t>Chinese Crested</t>
  </si>
  <si>
    <t>29.12.2012</t>
  </si>
  <si>
    <t>08.05.2017</t>
  </si>
  <si>
    <t xml:space="preserve">(Quincy) Trulyawesome Final Cut </t>
  </si>
  <si>
    <t>03.06.2012</t>
  </si>
  <si>
    <t>16.04.2019</t>
  </si>
  <si>
    <t>Karma</t>
  </si>
  <si>
    <t>07.03.2019</t>
  </si>
  <si>
    <t>Fletcher</t>
  </si>
  <si>
    <t>Labrador-Shepart-Mix</t>
  </si>
  <si>
    <t>Ebba</t>
  </si>
  <si>
    <t>24.07.2011</t>
  </si>
  <si>
    <t>01.09.2017</t>
  </si>
  <si>
    <t>Gehrke</t>
  </si>
  <si>
    <t>09.11.2005</t>
  </si>
  <si>
    <t>Cino</t>
  </si>
  <si>
    <t>22.12.2017</t>
  </si>
  <si>
    <t>Wrenger</t>
  </si>
  <si>
    <t>Kap</t>
  </si>
  <si>
    <t>07.06.2014</t>
  </si>
  <si>
    <t>04.09.2017</t>
  </si>
  <si>
    <t>Findus</t>
  </si>
  <si>
    <t>Alex/Thomas</t>
  </si>
  <si>
    <t>20.07.2014</t>
  </si>
  <si>
    <t xml:space="preserve">Pepe  </t>
  </si>
  <si>
    <t>02.08.2013</t>
  </si>
  <si>
    <t>14.12.2017</t>
  </si>
  <si>
    <t xml:space="preserve">Barbara </t>
  </si>
  <si>
    <t>03.06.2017</t>
  </si>
  <si>
    <t>Button(Sawdust No ifs no Buts)</t>
  </si>
  <si>
    <t>27.12.2013</t>
  </si>
  <si>
    <t>17.04.2018</t>
  </si>
  <si>
    <t>Banshee</t>
  </si>
  <si>
    <t>15.02.2014</t>
  </si>
  <si>
    <t>Hero</t>
  </si>
  <si>
    <t>25.07.2011</t>
  </si>
  <si>
    <t>28.01.2018</t>
  </si>
  <si>
    <t>Herrmann</t>
  </si>
  <si>
    <t>Lena</t>
  </si>
  <si>
    <t>05.07.2013</t>
  </si>
  <si>
    <t>19.07.2017</t>
  </si>
  <si>
    <t>Eichenauer</t>
  </si>
  <si>
    <t>Trixi</t>
  </si>
  <si>
    <t>30.06.2013</t>
  </si>
  <si>
    <t>23.09.2018</t>
  </si>
  <si>
    <t>Blanco Gonzales</t>
  </si>
  <si>
    <t>Sir Eaton</t>
  </si>
  <si>
    <t>22.04.2013</t>
  </si>
  <si>
    <t>18.08.2017</t>
  </si>
  <si>
    <t>Yoko</t>
  </si>
  <si>
    <t>Miniature Australian Shepherd</t>
  </si>
  <si>
    <t>02.05.2012</t>
  </si>
  <si>
    <t>Demant</t>
  </si>
  <si>
    <t>Shannon</t>
  </si>
  <si>
    <t>20.01.2014</t>
  </si>
  <si>
    <t>Tony</t>
  </si>
  <si>
    <t>Bonny</t>
  </si>
  <si>
    <t>07.08.2013</t>
  </si>
  <si>
    <t>Candussi</t>
  </si>
  <si>
    <t>Crisu</t>
  </si>
  <si>
    <t>16.06.2013</t>
  </si>
  <si>
    <t>Nicolaus</t>
  </si>
  <si>
    <t>Holly</t>
  </si>
  <si>
    <t>20.04.2012</t>
  </si>
  <si>
    <t>20.08.2018</t>
  </si>
  <si>
    <t>Hesselbarth</t>
  </si>
  <si>
    <t>Hailey</t>
  </si>
  <si>
    <t>22.01.2013</t>
  </si>
  <si>
    <t>10.07.2018</t>
  </si>
  <si>
    <t>Sammet</t>
  </si>
  <si>
    <t>Maybe</t>
  </si>
  <si>
    <t>11.07.2013</t>
  </si>
  <si>
    <t>26.09.2012</t>
  </si>
  <si>
    <t>Schröher</t>
  </si>
  <si>
    <t xml:space="preserve">Minou </t>
  </si>
  <si>
    <t>Wolfgang,Gabriele</t>
  </si>
  <si>
    <t>18.06.2013</t>
  </si>
  <si>
    <t>29.09.2017</t>
  </si>
  <si>
    <t>Pia</t>
  </si>
  <si>
    <t>99,00</t>
  </si>
  <si>
    <t>Christin</t>
  </si>
  <si>
    <t>03.01.2010</t>
  </si>
  <si>
    <t>Linde</t>
  </si>
  <si>
    <t>Pat</t>
  </si>
  <si>
    <t>Antje,Gabi</t>
  </si>
  <si>
    <t>12.04.2011</t>
  </si>
  <si>
    <t>Brummund,Schröder</t>
  </si>
  <si>
    <t>25.02.2012</t>
  </si>
  <si>
    <t>13.01.2017</t>
  </si>
  <si>
    <t>Gorski</t>
  </si>
  <si>
    <t xml:space="preserve">Paul </t>
  </si>
  <si>
    <t>20.08.2013</t>
  </si>
  <si>
    <t>20.11.2017</t>
  </si>
  <si>
    <t>Salz</t>
  </si>
  <si>
    <t>Cara</t>
  </si>
  <si>
    <t xml:space="preserve">Marion </t>
  </si>
  <si>
    <t>08.01.2011</t>
  </si>
  <si>
    <t>21.06.2019</t>
  </si>
  <si>
    <t>Gruffke</t>
  </si>
  <si>
    <t>01.06.2013</t>
  </si>
  <si>
    <t>29.06.2018</t>
  </si>
  <si>
    <t>Bartling</t>
  </si>
  <si>
    <t>Marley</t>
  </si>
  <si>
    <t>Weimaraner- Mix</t>
  </si>
  <si>
    <t>Friedrich</t>
  </si>
  <si>
    <t>Amy_2</t>
  </si>
  <si>
    <t>28.05.2012</t>
  </si>
  <si>
    <t>01.10.2017</t>
  </si>
  <si>
    <t>Thamke</t>
  </si>
  <si>
    <t>Kurzhaar Collie</t>
  </si>
  <si>
    <t>26.05.2012</t>
  </si>
  <si>
    <t>04.02.2019</t>
  </si>
  <si>
    <t>08.02.2011</t>
  </si>
  <si>
    <t>16.09.2011</t>
  </si>
  <si>
    <t>Ayana</t>
  </si>
  <si>
    <t>Kleiner Münsterländer</t>
  </si>
  <si>
    <t>Banjo</t>
  </si>
  <si>
    <t>Sheltie Havanese Mix</t>
  </si>
  <si>
    <t>16.02.2009</t>
  </si>
  <si>
    <t>23.05.2019</t>
  </si>
  <si>
    <t>Leonardo</t>
  </si>
  <si>
    <t>17.06.2012</t>
  </si>
  <si>
    <t>22.09.2017</t>
  </si>
  <si>
    <t>Klostermann</t>
  </si>
  <si>
    <t>12.06.2011</t>
  </si>
  <si>
    <t>Bley</t>
  </si>
  <si>
    <t>14.03.2019</t>
  </si>
  <si>
    <t>Sander</t>
  </si>
  <si>
    <t>Flo</t>
  </si>
  <si>
    <t>18.07.2013</t>
  </si>
  <si>
    <t>30.10.2017</t>
  </si>
  <si>
    <t>Daphne</t>
  </si>
  <si>
    <t>24.06.2013</t>
  </si>
  <si>
    <t>Labrador-Redriever</t>
  </si>
  <si>
    <t>01.01.2014</t>
  </si>
  <si>
    <t>Brendel</t>
  </si>
  <si>
    <t>25.07.2013</t>
  </si>
  <si>
    <t>Giotto</t>
  </si>
  <si>
    <t>09.02.2014</t>
  </si>
  <si>
    <t>06.07.2018</t>
  </si>
  <si>
    <t>Corwin</t>
  </si>
  <si>
    <t>30.01.2011</t>
  </si>
  <si>
    <t>02.06.2018</t>
  </si>
  <si>
    <t>05.01.2007</t>
  </si>
  <si>
    <t>01.05.2017</t>
  </si>
  <si>
    <t>Arriva</t>
  </si>
  <si>
    <t>Rill</t>
  </si>
  <si>
    <t>Sami</t>
  </si>
  <si>
    <t>25.08.2010</t>
  </si>
  <si>
    <t>24.11.2018</t>
  </si>
  <si>
    <t>Straubinger</t>
  </si>
  <si>
    <t>Anka</t>
  </si>
  <si>
    <t>01.04.2007</t>
  </si>
  <si>
    <t>20.11.2011</t>
  </si>
  <si>
    <t>Springer</t>
  </si>
  <si>
    <t>Smartie</t>
  </si>
  <si>
    <t>03.01.2012</t>
  </si>
  <si>
    <t>Farina</t>
  </si>
  <si>
    <t>15.11.2007</t>
  </si>
  <si>
    <t>Beigel</t>
  </si>
  <si>
    <t>Spottie</t>
  </si>
  <si>
    <t>01.11.2013</t>
  </si>
  <si>
    <t>14.01.2020</t>
  </si>
  <si>
    <t>Bacardi</t>
  </si>
  <si>
    <t>04.08.2012</t>
  </si>
  <si>
    <t>22.04.2018</t>
  </si>
  <si>
    <t>Kötting</t>
  </si>
  <si>
    <t>01.08.2011</t>
  </si>
  <si>
    <t>04.10.2008</t>
  </si>
  <si>
    <t>Ati</t>
  </si>
  <si>
    <t>Stepfanie</t>
  </si>
  <si>
    <t>10.07.2013</t>
  </si>
  <si>
    <t>29.11.2019</t>
  </si>
  <si>
    <t>Banu</t>
  </si>
  <si>
    <t>Dierk</t>
  </si>
  <si>
    <t>04.10.2012</t>
  </si>
  <si>
    <t>03.03.2018</t>
  </si>
  <si>
    <t>Petzold</t>
  </si>
  <si>
    <t>22.08.2011</t>
  </si>
  <si>
    <t>13.03.2018</t>
  </si>
  <si>
    <t>Pippin</t>
  </si>
  <si>
    <t>20.05.2013</t>
  </si>
  <si>
    <t>28.07.2018</t>
  </si>
  <si>
    <t>Krischi</t>
  </si>
  <si>
    <t>01.09.2013</t>
  </si>
  <si>
    <t>02.12.2018</t>
  </si>
  <si>
    <t>Caj</t>
  </si>
  <si>
    <t>Yuma</t>
  </si>
  <si>
    <t>Alpenhütehund</t>
  </si>
  <si>
    <t>12.09.2013</t>
  </si>
  <si>
    <t>Freddi</t>
  </si>
  <si>
    <t>17.03.2012</t>
  </si>
  <si>
    <t>24.02.2018</t>
  </si>
  <si>
    <t>Zietz</t>
  </si>
  <si>
    <t>Bordie</t>
  </si>
  <si>
    <t>28.01.2014</t>
  </si>
  <si>
    <t>21.04.2017</t>
  </si>
  <si>
    <t>Strohwlad</t>
  </si>
  <si>
    <t>Curly-Sue</t>
  </si>
  <si>
    <t>12.12.2013</t>
  </si>
  <si>
    <t>12.07.2010</t>
  </si>
  <si>
    <t>27.11.2017</t>
  </si>
  <si>
    <t>Groenewold</t>
  </si>
  <si>
    <t>08.02.2012</t>
  </si>
  <si>
    <t>Gipsy</t>
  </si>
  <si>
    <t>02.06.2010</t>
  </si>
  <si>
    <t>23.10.2017</t>
  </si>
  <si>
    <t>Rubi</t>
  </si>
  <si>
    <t>02.04.2011</t>
  </si>
  <si>
    <t>28.07.2017</t>
  </si>
  <si>
    <t>Braukmann</t>
  </si>
  <si>
    <t>Tiamo</t>
  </si>
  <si>
    <t>06.11.2013</t>
  </si>
  <si>
    <t>28.02.2018</t>
  </si>
  <si>
    <t>19.12.2013</t>
  </si>
  <si>
    <t>23.04.2018</t>
  </si>
  <si>
    <t>Isabel</t>
  </si>
  <si>
    <t>13.12.2011</t>
  </si>
  <si>
    <t>10.03.2018</t>
  </si>
  <si>
    <t>Splittgerber</t>
  </si>
  <si>
    <t>Maffi</t>
  </si>
  <si>
    <t>18.09.2013</t>
  </si>
  <si>
    <t>26.01.2018</t>
  </si>
  <si>
    <t>Engelbrecht</t>
  </si>
  <si>
    <t xml:space="preserve">Greti </t>
  </si>
  <si>
    <t>01.02.2012</t>
  </si>
  <si>
    <t>Luedtke</t>
  </si>
  <si>
    <t>Harley</t>
  </si>
  <si>
    <t>17.06.2013</t>
  </si>
  <si>
    <t>15.03.2013</t>
  </si>
  <si>
    <t>17.08.2017</t>
  </si>
  <si>
    <t>Krieber</t>
  </si>
  <si>
    <t>18.04.2011</t>
  </si>
  <si>
    <t>14.05.2018</t>
  </si>
  <si>
    <t>Stache</t>
  </si>
  <si>
    <t>Samantha</t>
  </si>
  <si>
    <t>Eddy</t>
  </si>
  <si>
    <t>22.08.2013</t>
  </si>
  <si>
    <t>03.01.2018</t>
  </si>
  <si>
    <t>Haupenthal</t>
  </si>
  <si>
    <t>Milli</t>
  </si>
  <si>
    <t>01.05.2011</t>
  </si>
  <si>
    <t>Schiller</t>
  </si>
  <si>
    <t>Swiffer</t>
  </si>
  <si>
    <t>17.07.2010</t>
  </si>
  <si>
    <t>Reinhold</t>
  </si>
  <si>
    <t>17.05.2015</t>
  </si>
  <si>
    <t>Dethloff</t>
  </si>
  <si>
    <t>Crazy</t>
  </si>
  <si>
    <t>14.07.2013</t>
  </si>
  <si>
    <t>06.10.2017</t>
  </si>
  <si>
    <t>23.12.2013</t>
  </si>
  <si>
    <t>21.01.2013</t>
  </si>
  <si>
    <t>21.07.2012</t>
  </si>
  <si>
    <t>Diehl</t>
  </si>
  <si>
    <t>24.11.2010</t>
  </si>
  <si>
    <t>Kaja</t>
  </si>
  <si>
    <t>18.05.2013</t>
  </si>
  <si>
    <t>20.08.2017</t>
  </si>
  <si>
    <t>Lauterbach</t>
  </si>
  <si>
    <t>Sir Henry</t>
  </si>
  <si>
    <t>26.09.2013</t>
  </si>
  <si>
    <t>Feierabend</t>
  </si>
  <si>
    <t>Anja-M</t>
  </si>
  <si>
    <t>30.05.2009</t>
  </si>
  <si>
    <t>Szukat-Wagner</t>
  </si>
  <si>
    <t>04.05.2014</t>
  </si>
  <si>
    <t>05.08.2017</t>
  </si>
  <si>
    <t>Krug</t>
  </si>
  <si>
    <t>Maurice</t>
  </si>
  <si>
    <t>05.05.2014</t>
  </si>
  <si>
    <t>22.05.2010</t>
  </si>
  <si>
    <t>Dasha</t>
  </si>
  <si>
    <t>11.03.2014</t>
  </si>
  <si>
    <t>Seifert</t>
  </si>
  <si>
    <t>(Holly) Trulyawesome It girl</t>
  </si>
  <si>
    <t>17.02.2014</t>
  </si>
  <si>
    <t>05.05.2018</t>
  </si>
  <si>
    <t>Diel</t>
  </si>
  <si>
    <t>Kasi</t>
  </si>
  <si>
    <t>10.11.2018</t>
  </si>
  <si>
    <t>Koiker Hontje</t>
  </si>
  <si>
    <t>27.11.2013</t>
  </si>
  <si>
    <t>22.02.2019</t>
  </si>
  <si>
    <t>24.10.2009</t>
  </si>
  <si>
    <t>Kraus</t>
  </si>
  <si>
    <t>Penny</t>
  </si>
  <si>
    <t>27.03.2013</t>
  </si>
  <si>
    <t>Body</t>
  </si>
  <si>
    <t xml:space="preserve">Kathrin </t>
  </si>
  <si>
    <t>10.02.2014</t>
  </si>
  <si>
    <t>Ainic</t>
  </si>
  <si>
    <t>Rasty</t>
  </si>
  <si>
    <t>03.07.2010</t>
  </si>
  <si>
    <t>01.08.2017</t>
  </si>
  <si>
    <t>Crazy Girl</t>
  </si>
  <si>
    <t>Söldner</t>
  </si>
  <si>
    <t>21.08.2012</t>
  </si>
  <si>
    <t>Amber</t>
  </si>
  <si>
    <t>Busse</t>
  </si>
  <si>
    <t>27.03.2014</t>
  </si>
  <si>
    <t>Malzahn</t>
  </si>
  <si>
    <t>02.07.2017</t>
  </si>
  <si>
    <t>Lina</t>
  </si>
  <si>
    <t>10.03.2014</t>
  </si>
  <si>
    <t>15.06.2018</t>
  </si>
  <si>
    <t>Nees</t>
  </si>
  <si>
    <t>21.01.2012</t>
  </si>
  <si>
    <t xml:space="preserve">Gibkes </t>
  </si>
  <si>
    <t xml:space="preserve">India </t>
  </si>
  <si>
    <t>03.10.2009</t>
  </si>
  <si>
    <t>18.12.2018</t>
  </si>
  <si>
    <t>Gehrt</t>
  </si>
  <si>
    <t>21.10.2007</t>
  </si>
  <si>
    <t>11.08.2013</t>
  </si>
  <si>
    <t>10.12.2017</t>
  </si>
  <si>
    <t>Gunkel</t>
  </si>
  <si>
    <t>Wutsch</t>
  </si>
  <si>
    <t>30.08.2012</t>
  </si>
  <si>
    <t>06.04.2019</t>
  </si>
  <si>
    <t>Lüttmann</t>
  </si>
  <si>
    <t xml:space="preserve"> 27609418010564</t>
  </si>
  <si>
    <t>Claus</t>
  </si>
  <si>
    <t>15.11.2013</t>
  </si>
  <si>
    <t>Cyp</t>
  </si>
  <si>
    <t>30.12.2013</t>
  </si>
  <si>
    <t xml:space="preserve">Iserlohe </t>
  </si>
  <si>
    <t>Mexx</t>
  </si>
  <si>
    <t>14.06.2014</t>
  </si>
  <si>
    <t>18.11.2018</t>
  </si>
  <si>
    <t>Landeck</t>
  </si>
  <si>
    <t>Sira</t>
  </si>
  <si>
    <t xml:space="preserve">Marco </t>
  </si>
  <si>
    <t>11.04.2014</t>
  </si>
  <si>
    <t>Yaima</t>
  </si>
  <si>
    <t>20.06.2013</t>
  </si>
  <si>
    <t>08.10.2017</t>
  </si>
  <si>
    <t>Chan</t>
  </si>
  <si>
    <t>18.10.2017</t>
  </si>
  <si>
    <t>11.11.2012</t>
  </si>
  <si>
    <t>01.08.2018</t>
  </si>
  <si>
    <t>15.10.2012</t>
  </si>
  <si>
    <t>Reiser</t>
  </si>
  <si>
    <t>Kleo</t>
  </si>
  <si>
    <t>25.09.2009</t>
  </si>
  <si>
    <t>30.05.2019</t>
  </si>
  <si>
    <t>Schlingmeier</t>
  </si>
  <si>
    <t>07.08.2008</t>
  </si>
  <si>
    <t>30.11.2018</t>
  </si>
  <si>
    <t>Dietrich-Frevert</t>
  </si>
  <si>
    <t>Flummi</t>
  </si>
  <si>
    <t>14.10.2011</t>
  </si>
  <si>
    <t>Niedermeier</t>
  </si>
  <si>
    <t>David</t>
  </si>
  <si>
    <t>04.06.2014</t>
  </si>
  <si>
    <t>09.10.2017</t>
  </si>
  <si>
    <t>06.12.2012</t>
  </si>
  <si>
    <t>15.12.2017</t>
  </si>
  <si>
    <t>Sasu</t>
  </si>
  <si>
    <t>10.06.2006</t>
  </si>
  <si>
    <t>14.10.2017</t>
  </si>
  <si>
    <t>Hofmeister</t>
  </si>
  <si>
    <t>Ally (Allegra)</t>
  </si>
  <si>
    <t>08.09.2014</t>
  </si>
  <si>
    <t>Eimer</t>
  </si>
  <si>
    <t>24.08.2011</t>
  </si>
  <si>
    <t>Herrmannsdörfer</t>
  </si>
  <si>
    <t>Cully</t>
  </si>
  <si>
    <t>12.02.2013</t>
  </si>
  <si>
    <t>Herzog</t>
  </si>
  <si>
    <t>07.03.2014</t>
  </si>
  <si>
    <t>Koenen</t>
  </si>
  <si>
    <t>28.05.2011</t>
  </si>
  <si>
    <t>Kreutzer</t>
  </si>
  <si>
    <t>Luisa</t>
  </si>
  <si>
    <t>26.01.2013</t>
  </si>
  <si>
    <t>05.05.2017</t>
  </si>
  <si>
    <t>Aroma</t>
  </si>
  <si>
    <t>20.03.2013</t>
  </si>
  <si>
    <t>02.08.2018</t>
  </si>
  <si>
    <t>Samu</t>
  </si>
  <si>
    <t>Marcus</t>
  </si>
  <si>
    <t>24.12.2013</t>
  </si>
  <si>
    <t>Glasl</t>
  </si>
  <si>
    <t>07.10.2012</t>
  </si>
  <si>
    <t>17.01.2018</t>
  </si>
  <si>
    <t>Nave</t>
  </si>
  <si>
    <t>Hope</t>
  </si>
  <si>
    <t>21.09.2013</t>
  </si>
  <si>
    <t>Sly</t>
  </si>
  <si>
    <t>08.03.2014</t>
  </si>
  <si>
    <t>Bippo</t>
  </si>
  <si>
    <t>Norbert</t>
  </si>
  <si>
    <t>15.03.2014</t>
  </si>
  <si>
    <t>01.06.2018</t>
  </si>
  <si>
    <t>Greuel</t>
  </si>
  <si>
    <t>14.09.2014</t>
  </si>
  <si>
    <t>23.01.2014</t>
  </si>
  <si>
    <t>22.05.2018</t>
  </si>
  <si>
    <t>Gwynedd</t>
  </si>
  <si>
    <t>28.05.2013</t>
  </si>
  <si>
    <t>14.11.2017</t>
  </si>
  <si>
    <t>Henning</t>
  </si>
  <si>
    <t>08.02.2013</t>
  </si>
  <si>
    <t>Kymba</t>
  </si>
  <si>
    <t>16.10.2013</t>
  </si>
  <si>
    <t>Kühberger</t>
  </si>
  <si>
    <t>23.08.2014</t>
  </si>
  <si>
    <t>Wötzel</t>
  </si>
  <si>
    <t>01.07.2015</t>
  </si>
  <si>
    <t>16.11.2018</t>
  </si>
  <si>
    <t>Tessy</t>
  </si>
  <si>
    <t>Virgilia</t>
  </si>
  <si>
    <t>Hölscher</t>
  </si>
  <si>
    <t>06.05.2006</t>
  </si>
  <si>
    <t>12.04.2018</t>
  </si>
  <si>
    <t>Porsche</t>
  </si>
  <si>
    <t>31.05.2014</t>
  </si>
  <si>
    <t>05.07.2019</t>
  </si>
  <si>
    <t>Zeller</t>
  </si>
  <si>
    <t>Lumpi</t>
  </si>
  <si>
    <t>04.02.2012</t>
  </si>
  <si>
    <t>02.10.2018</t>
  </si>
  <si>
    <t>Hubrich</t>
  </si>
  <si>
    <t>Thielemann</t>
  </si>
  <si>
    <t>Kazuki</t>
  </si>
  <si>
    <t xml:space="preserve">Monica </t>
  </si>
  <si>
    <t xml:space="preserve">Berhausen </t>
  </si>
  <si>
    <t>Romy</t>
  </si>
  <si>
    <t>10.09.2010</t>
  </si>
  <si>
    <t>08.03.2020</t>
  </si>
  <si>
    <t>Biessey</t>
  </si>
  <si>
    <t>Lord</t>
  </si>
  <si>
    <t>07.12.2014</t>
  </si>
  <si>
    <t>Lira</t>
  </si>
  <si>
    <t>Patrick/Fabienne</t>
  </si>
  <si>
    <t>12.10.2014</t>
  </si>
  <si>
    <t>Lewandowski</t>
  </si>
  <si>
    <t>Chili</t>
  </si>
  <si>
    <t>02.03.2019</t>
  </si>
  <si>
    <t xml:space="preserve">Meo </t>
  </si>
  <si>
    <t>19.09.2013</t>
  </si>
  <si>
    <t>04.01.2019</t>
  </si>
  <si>
    <t>Schipping</t>
  </si>
  <si>
    <t xml:space="preserve">Kira </t>
  </si>
  <si>
    <t xml:space="preserve">Celina </t>
  </si>
  <si>
    <t>24.06.2014</t>
  </si>
  <si>
    <t>Vizsla</t>
  </si>
  <si>
    <t>Mareen</t>
  </si>
  <si>
    <t>31.03.2013</t>
  </si>
  <si>
    <t>05.07.2017</t>
  </si>
  <si>
    <t>17.10.2014</t>
  </si>
  <si>
    <t>16.01.2018</t>
  </si>
  <si>
    <t>Schärf</t>
  </si>
  <si>
    <t>23.11.2013</t>
  </si>
  <si>
    <t>28.02.2020</t>
  </si>
  <si>
    <t>Seypt</t>
  </si>
  <si>
    <t>Nikita</t>
  </si>
  <si>
    <t>05.10.2011</t>
  </si>
  <si>
    <t>Stoisch</t>
  </si>
  <si>
    <t>Skyppy</t>
  </si>
  <si>
    <t>18.11.2014</t>
  </si>
  <si>
    <t>07.03.2018</t>
  </si>
  <si>
    <t xml:space="preserve">Riehm-Pröpper </t>
  </si>
  <si>
    <t>Jonna</t>
  </si>
  <si>
    <t>Nicoloulias</t>
  </si>
  <si>
    <t>(Porsche) My Edenrock's a little Pepper Pot</t>
  </si>
  <si>
    <t>03.10.2013</t>
  </si>
  <si>
    <t>11.03.2018</t>
  </si>
  <si>
    <t>Finna</t>
  </si>
  <si>
    <t>03.09.2015</t>
  </si>
  <si>
    <t>01.10.2018</t>
  </si>
  <si>
    <t>Hutter</t>
  </si>
  <si>
    <t>Labradoodle</t>
  </si>
  <si>
    <t>Johanna</t>
  </si>
  <si>
    <t>14.11.2014</t>
  </si>
  <si>
    <t>Pelikan</t>
  </si>
  <si>
    <t>Jochen</t>
  </si>
  <si>
    <t>03.04.2009</t>
  </si>
  <si>
    <t>Sinkel</t>
  </si>
  <si>
    <t>Retriver-Mix</t>
  </si>
  <si>
    <t>22.09.2018</t>
  </si>
  <si>
    <t>Grünert</t>
  </si>
  <si>
    <t>Sisi</t>
  </si>
  <si>
    <t>28.04.2014</t>
  </si>
  <si>
    <t>23.11.2019</t>
  </si>
  <si>
    <t>Quack</t>
  </si>
  <si>
    <t>Meilo</t>
  </si>
  <si>
    <t>08.06.2018</t>
  </si>
  <si>
    <t>Köpper</t>
  </si>
  <si>
    <t>Milena</t>
  </si>
  <si>
    <t>01.04.2020</t>
  </si>
  <si>
    <t>11.11.2013</t>
  </si>
  <si>
    <t>17.02.2019</t>
  </si>
  <si>
    <t>Quinnie</t>
  </si>
  <si>
    <t>11.12.2010</t>
  </si>
  <si>
    <t>Aiwa</t>
  </si>
  <si>
    <t xml:space="preserve">Sandra </t>
  </si>
  <si>
    <t>02.09.2008</t>
  </si>
  <si>
    <t>18.03.2020</t>
  </si>
  <si>
    <t>14.01.2014</t>
  </si>
  <si>
    <t>05.03.2019</t>
  </si>
  <si>
    <t>Ivy</t>
  </si>
  <si>
    <t>15.03.2019</t>
  </si>
  <si>
    <t xml:space="preserve">Dani </t>
  </si>
  <si>
    <t>11.03.2019</t>
  </si>
  <si>
    <t>Acy</t>
  </si>
  <si>
    <t>05.04.2013</t>
  </si>
  <si>
    <t>25.07.2017</t>
  </si>
  <si>
    <t>Buri</t>
  </si>
  <si>
    <t>30.03.2014</t>
  </si>
  <si>
    <t>Merle</t>
  </si>
  <si>
    <t>26.03.2012</t>
  </si>
  <si>
    <t>10.02.2018</t>
  </si>
  <si>
    <t>Karola</t>
  </si>
  <si>
    <t>01.02.2010</t>
  </si>
  <si>
    <t>10.01.2020</t>
  </si>
  <si>
    <t>Grabowski</t>
  </si>
  <si>
    <t>Talisman</t>
  </si>
  <si>
    <t>17.09.2018</t>
  </si>
  <si>
    <t>Berhausen</t>
  </si>
  <si>
    <t>17.12.2010</t>
  </si>
  <si>
    <t>17.02.2020</t>
  </si>
  <si>
    <t>Friesicke</t>
  </si>
  <si>
    <t xml:space="preserve">Gina </t>
  </si>
  <si>
    <t>27.12.2008</t>
  </si>
  <si>
    <t>27.01.2020</t>
  </si>
  <si>
    <t>Gracie</t>
  </si>
  <si>
    <t>Jack Russel / Sheltie</t>
  </si>
  <si>
    <t>27.10.2014</t>
  </si>
  <si>
    <t>23.02.2018</t>
  </si>
  <si>
    <t>Jeschonnek</t>
  </si>
  <si>
    <t xml:space="preserve">Karin </t>
  </si>
  <si>
    <t>23.09.2013</t>
  </si>
  <si>
    <t>23.12.2017</t>
  </si>
  <si>
    <t>19.08.2012</t>
  </si>
  <si>
    <t>Ilay</t>
  </si>
  <si>
    <t>Andi</t>
  </si>
  <si>
    <t>Küttner</t>
  </si>
  <si>
    <t>Meisel</t>
  </si>
  <si>
    <t>Iwa</t>
  </si>
  <si>
    <t>Verena</t>
  </si>
  <si>
    <t>10.12.2014</t>
  </si>
  <si>
    <t>07.04.2013</t>
  </si>
  <si>
    <t>Timm</t>
  </si>
  <si>
    <t>Mick</t>
  </si>
  <si>
    <t>06.06.2014</t>
  </si>
  <si>
    <t>19.09.2017</t>
  </si>
  <si>
    <t>Hankook</t>
  </si>
  <si>
    <t>06.11.2014</t>
  </si>
  <si>
    <t>20.01.2019</t>
  </si>
  <si>
    <t>Annie</t>
  </si>
  <si>
    <t>11.09.2014</t>
  </si>
  <si>
    <t>Bingel</t>
  </si>
  <si>
    <t>Mailo</t>
  </si>
  <si>
    <t>22.02.2015</t>
  </si>
  <si>
    <t>15.08.2018</t>
  </si>
  <si>
    <t>Humphrey</t>
  </si>
  <si>
    <t>Mops-Mix</t>
  </si>
  <si>
    <t>09.10.2014</t>
  </si>
  <si>
    <t>07.01.2019</t>
  </si>
  <si>
    <t>Söngen</t>
  </si>
  <si>
    <t>05.06.2014</t>
  </si>
  <si>
    <t>Zora</t>
  </si>
  <si>
    <t>04.11.2017</t>
  </si>
  <si>
    <t>Mader</t>
  </si>
  <si>
    <t>08.01.2013</t>
  </si>
  <si>
    <t>Weinkämmerer</t>
  </si>
  <si>
    <t>PLUME</t>
  </si>
  <si>
    <t>Isabelle</t>
  </si>
  <si>
    <t>28.02.2011</t>
  </si>
  <si>
    <t>DESMOULIN</t>
  </si>
  <si>
    <t>ITOU</t>
  </si>
  <si>
    <t>Alain</t>
  </si>
  <si>
    <t>CADIOU</t>
  </si>
  <si>
    <t>LUCKY</t>
  </si>
  <si>
    <t>31.05.2013</t>
  </si>
  <si>
    <t>BARBIER</t>
  </si>
  <si>
    <t>HYRIS</t>
  </si>
  <si>
    <t>Justine</t>
  </si>
  <si>
    <t>06.06.2012</t>
  </si>
  <si>
    <t>27.09.2017</t>
  </si>
  <si>
    <t>COSNEFROY</t>
  </si>
  <si>
    <t>HANGEL</t>
  </si>
  <si>
    <t>Groenendael</t>
  </si>
  <si>
    <t>Thierry</t>
  </si>
  <si>
    <t>13.05.2012</t>
  </si>
  <si>
    <t>14.02.2018</t>
  </si>
  <si>
    <t>GERMAIN</t>
  </si>
  <si>
    <t>GWENYA</t>
  </si>
  <si>
    <t>09.02.2011</t>
  </si>
  <si>
    <t>ZETTEL</t>
  </si>
  <si>
    <t>GALIS</t>
  </si>
  <si>
    <t>Martine</t>
  </si>
  <si>
    <t>17.08.2011</t>
  </si>
  <si>
    <t>07.12.2017</t>
  </si>
  <si>
    <t>DRAGO</t>
  </si>
  <si>
    <t>Cédric</t>
  </si>
  <si>
    <t>26.08.2008</t>
  </si>
  <si>
    <t>05.11.2017</t>
  </si>
  <si>
    <t>JOSSO</t>
  </si>
  <si>
    <t>Susann</t>
  </si>
  <si>
    <t>04.09.2010</t>
  </si>
  <si>
    <t>10.10.2017</t>
  </si>
  <si>
    <t>13.06.2013</t>
  </si>
  <si>
    <t>Placke</t>
  </si>
  <si>
    <t>13.12.2014</t>
  </si>
  <si>
    <t>09.12.2017</t>
  </si>
  <si>
    <t xml:space="preserve">Happy </t>
  </si>
  <si>
    <t>Dick</t>
  </si>
  <si>
    <t>25.09.2014</t>
  </si>
  <si>
    <t>24.02.2019</t>
  </si>
  <si>
    <t>Bach</t>
  </si>
  <si>
    <t>11.02.2015</t>
  </si>
  <si>
    <t>17.01.2015</t>
  </si>
  <si>
    <t>Sheila</t>
  </si>
  <si>
    <t>05.08.2019</t>
  </si>
  <si>
    <t>Dr. No</t>
  </si>
  <si>
    <t>30.05.2014</t>
  </si>
  <si>
    <t>Bösel</t>
  </si>
  <si>
    <t>Liv</t>
  </si>
  <si>
    <t xml:space="preserve">Manfred </t>
  </si>
  <si>
    <t>Lenya</t>
  </si>
  <si>
    <t xml:space="preserve">Anna Catrin </t>
  </si>
  <si>
    <t>27.04.2014</t>
  </si>
  <si>
    <t>21.10.2017</t>
  </si>
  <si>
    <t>Zippo</t>
  </si>
  <si>
    <t>01.06.2015</t>
  </si>
  <si>
    <t>05.12.2017</t>
  </si>
  <si>
    <t>Peet</t>
  </si>
  <si>
    <t>28.05.2014</t>
  </si>
  <si>
    <t>Mayla</t>
  </si>
  <si>
    <t>12.06.2012</t>
  </si>
  <si>
    <t>17.10.2017</t>
  </si>
  <si>
    <t>Konny</t>
  </si>
  <si>
    <t>19.12.2009</t>
  </si>
  <si>
    <t>08.02.2019</t>
  </si>
  <si>
    <t>Stoppe</t>
  </si>
  <si>
    <t>Patch</t>
  </si>
  <si>
    <t>26.03.2014</t>
  </si>
  <si>
    <t>23.06.2017</t>
  </si>
  <si>
    <t>Kasimir</t>
  </si>
  <si>
    <t>Griffon-Mix</t>
  </si>
  <si>
    <t>Luise</t>
  </si>
  <si>
    <t>05.11.2013</t>
  </si>
  <si>
    <t>Hornig</t>
  </si>
  <si>
    <t>14.02.2014</t>
  </si>
  <si>
    <t>27.03.2020</t>
  </si>
  <si>
    <t>Elsa</t>
  </si>
  <si>
    <t>28.10.2014</t>
  </si>
  <si>
    <t>Eragon</t>
  </si>
  <si>
    <t>30.03.2013</t>
  </si>
  <si>
    <t>18.07.2018</t>
  </si>
  <si>
    <t>Serve</t>
  </si>
  <si>
    <t>Border Collie/Whippet</t>
  </si>
  <si>
    <t>05.07.2014</t>
  </si>
  <si>
    <t>Punk</t>
  </si>
  <si>
    <t>19.11.2018</t>
  </si>
  <si>
    <t>Border Collie/Terrier</t>
  </si>
  <si>
    <t>13.10.2014</t>
  </si>
  <si>
    <t>16.02.2018</t>
  </si>
  <si>
    <t>Hilow</t>
  </si>
  <si>
    <t>28.10.2010</t>
  </si>
  <si>
    <t>07.04.2017</t>
  </si>
  <si>
    <t>Brante</t>
  </si>
  <si>
    <t>06.10.2014</t>
  </si>
  <si>
    <t>18.01.2019</t>
  </si>
  <si>
    <t>Phönix</t>
  </si>
  <si>
    <t>21.10.2010</t>
  </si>
  <si>
    <t>13.05.2018</t>
  </si>
  <si>
    <t>Illemann</t>
  </si>
  <si>
    <t>Antje/Gabi</t>
  </si>
  <si>
    <t>Brummund/Schröder</t>
  </si>
  <si>
    <t>Lin</t>
  </si>
  <si>
    <t>16.01.2015</t>
  </si>
  <si>
    <t>02.07.2019</t>
  </si>
  <si>
    <t>Flag</t>
  </si>
  <si>
    <t>Nickisch-Merkel</t>
  </si>
  <si>
    <t>10.07.2010</t>
  </si>
  <si>
    <t>06.01.2018</t>
  </si>
  <si>
    <t>11.03.2015</t>
  </si>
  <si>
    <t>Giesbert</t>
  </si>
  <si>
    <t>Lagotto Romagnolo</t>
  </si>
  <si>
    <t>24.05.2015</t>
  </si>
  <si>
    <t>20.08.2019</t>
  </si>
  <si>
    <t>14.12.2015</t>
  </si>
  <si>
    <t>30.01.2013</t>
  </si>
  <si>
    <t>20.02.2017</t>
  </si>
  <si>
    <t>Schwendele</t>
  </si>
  <si>
    <t>Xeno</t>
  </si>
  <si>
    <t>Schnauzer</t>
  </si>
  <si>
    <t>06.02.2014</t>
  </si>
  <si>
    <t>25.04.2018</t>
  </si>
  <si>
    <t>Mahsuri</t>
  </si>
  <si>
    <t>23.06.2013</t>
  </si>
  <si>
    <t>19.07.2011</t>
  </si>
  <si>
    <t>11.11.2018</t>
  </si>
  <si>
    <t>01.07.2013</t>
  </si>
  <si>
    <t>Glatt</t>
  </si>
  <si>
    <t>Yaiza</t>
  </si>
  <si>
    <t>19.08.2014</t>
  </si>
  <si>
    <t>07.12.2018</t>
  </si>
  <si>
    <t>Anne-Katrin</t>
  </si>
  <si>
    <t>08.09.2017</t>
  </si>
  <si>
    <t>JUNIOR</t>
  </si>
  <si>
    <t>Pyrenäenberghund</t>
  </si>
  <si>
    <t>Cathy</t>
  </si>
  <si>
    <t>Brender</t>
  </si>
  <si>
    <t>JOY</t>
  </si>
  <si>
    <t xml:space="preserve">Eric </t>
  </si>
  <si>
    <t>16.07.2014</t>
  </si>
  <si>
    <t>Gidemann</t>
  </si>
  <si>
    <t>FLOCKIE</t>
  </si>
  <si>
    <t>Odette</t>
  </si>
  <si>
    <t>31.01.2010</t>
  </si>
  <si>
    <t>Woerner</t>
  </si>
  <si>
    <t>ZELKA</t>
  </si>
  <si>
    <t>Victoria</t>
  </si>
  <si>
    <t>04.07.2011</t>
  </si>
  <si>
    <t>GAYA</t>
  </si>
  <si>
    <t>Bérénice</t>
  </si>
  <si>
    <t>13.06.2011</t>
  </si>
  <si>
    <t>Dupon</t>
  </si>
  <si>
    <t>20.12.2013</t>
  </si>
  <si>
    <t>21.01.2018</t>
  </si>
  <si>
    <t>Sinja</t>
  </si>
  <si>
    <t>25.02.2013</t>
  </si>
  <si>
    <t>10.04.2018</t>
  </si>
  <si>
    <t>03.01.2015</t>
  </si>
  <si>
    <t>21.05.2018</t>
  </si>
  <si>
    <t>01.02.2006</t>
  </si>
  <si>
    <t>01.02.2018</t>
  </si>
  <si>
    <t>Nici</t>
  </si>
  <si>
    <t>01.01.2007</t>
  </si>
  <si>
    <t>26.04.2006</t>
  </si>
  <si>
    <t>01.02.2017</t>
  </si>
  <si>
    <t>02.03.2014</t>
  </si>
  <si>
    <t>Exner</t>
  </si>
  <si>
    <t>10.06.2011</t>
  </si>
  <si>
    <t>31.05.2018</t>
  </si>
  <si>
    <t>Border-Jack Russel-Mix</t>
  </si>
  <si>
    <t>11.11.2014</t>
  </si>
  <si>
    <t>Cassie</t>
  </si>
  <si>
    <t>30.11.2011</t>
  </si>
  <si>
    <t>Zander</t>
  </si>
  <si>
    <t>18.04.2019</t>
  </si>
  <si>
    <t>24.10.2012</t>
  </si>
  <si>
    <t>Müller-Hönig</t>
  </si>
  <si>
    <t>12.12.2014</t>
  </si>
  <si>
    <t>06.03.2019</t>
  </si>
  <si>
    <t>Amy 3</t>
  </si>
  <si>
    <t>17.03.2015</t>
  </si>
  <si>
    <t>27.05.2019</t>
  </si>
  <si>
    <t>Böhm</t>
  </si>
  <si>
    <t>29.05.2011</t>
  </si>
  <si>
    <t>09.06.2017</t>
  </si>
  <si>
    <t>Jehle</t>
  </si>
  <si>
    <t>08.05.2014</t>
  </si>
  <si>
    <t>Gaige</t>
  </si>
  <si>
    <t>03.08.2013</t>
  </si>
  <si>
    <t>Emely</t>
  </si>
  <si>
    <t>23.07.2011</t>
  </si>
  <si>
    <t>16.12.2018</t>
  </si>
  <si>
    <t>Estrada da Mata (Zahara)</t>
  </si>
  <si>
    <t>Livia</t>
  </si>
  <si>
    <t>23.01.2012</t>
  </si>
  <si>
    <t>12.06.2017</t>
  </si>
  <si>
    <t>Nogueira</t>
  </si>
  <si>
    <t>Rudi</t>
  </si>
  <si>
    <t>Landers</t>
  </si>
  <si>
    <t>Nap</t>
  </si>
  <si>
    <t>Testhund 99</t>
  </si>
  <si>
    <t>01.05.2015</t>
  </si>
  <si>
    <t>10.09.2013</t>
  </si>
  <si>
    <t>20.02.2020</t>
  </si>
  <si>
    <t>Boos</t>
  </si>
  <si>
    <t>06.01.2015</t>
  </si>
  <si>
    <t>Salza</t>
  </si>
  <si>
    <t>Flat Coated Labrador Mix</t>
  </si>
  <si>
    <t>01.01.2010</t>
  </si>
  <si>
    <t>30.08.2017</t>
  </si>
  <si>
    <t>19.04.2013</t>
  </si>
  <si>
    <t>28.04.2015</t>
  </si>
  <si>
    <t>12.01.2009</t>
  </si>
  <si>
    <t>Gützkow</t>
  </si>
  <si>
    <t>Irish Soft Coated Wheaten Terrier</t>
  </si>
  <si>
    <t>06.05.2019</t>
  </si>
  <si>
    <t>Melli</t>
  </si>
  <si>
    <t>27.04.2015</t>
  </si>
  <si>
    <t>Percy</t>
  </si>
  <si>
    <t>26.11.2011</t>
  </si>
  <si>
    <t>02.02.2018</t>
  </si>
  <si>
    <t>16.05.2014</t>
  </si>
  <si>
    <t>08.08.2019</t>
  </si>
  <si>
    <t>Mörl</t>
  </si>
  <si>
    <t>14.01.2013</t>
  </si>
  <si>
    <t>Baier</t>
  </si>
  <si>
    <t>Inouk</t>
  </si>
  <si>
    <t>Angelina</t>
  </si>
  <si>
    <t>18.10.2013</t>
  </si>
  <si>
    <t>Pöpperl</t>
  </si>
  <si>
    <t>Nelly (Elli Pirelli)</t>
  </si>
  <si>
    <t>03.03.2015</t>
  </si>
  <si>
    <t>Digger</t>
  </si>
  <si>
    <t>Frederike</t>
  </si>
  <si>
    <t>20.01.2015</t>
  </si>
  <si>
    <t>Hagenböcker</t>
  </si>
  <si>
    <t>Aramis</t>
  </si>
  <si>
    <t>13.04.2014</t>
  </si>
  <si>
    <t>15.07.2017</t>
  </si>
  <si>
    <t>Sachs</t>
  </si>
  <si>
    <t>Emil</t>
  </si>
  <si>
    <t>28.07.2013</t>
  </si>
  <si>
    <t>24.09.2017</t>
  </si>
  <si>
    <t>Laina von der Löwengrube</t>
  </si>
  <si>
    <t>31.03.2015</t>
  </si>
  <si>
    <t>29.08.2017</t>
  </si>
  <si>
    <t>Kramm</t>
  </si>
  <si>
    <t>10.10.2012</t>
  </si>
  <si>
    <t>01.01.2012</t>
  </si>
  <si>
    <t>11.08.2018</t>
  </si>
  <si>
    <t>Münch</t>
  </si>
  <si>
    <t>Panda</t>
  </si>
  <si>
    <t>Helene</t>
  </si>
  <si>
    <t>20.05.2015</t>
  </si>
  <si>
    <t>Kaulmann</t>
  </si>
  <si>
    <t>Vivien</t>
  </si>
  <si>
    <t>03.09.2014</t>
  </si>
  <si>
    <t>19.01.2019</t>
  </si>
  <si>
    <t>Seeberg</t>
  </si>
  <si>
    <t>11.09.2018</t>
  </si>
  <si>
    <t>Rebholz</t>
  </si>
  <si>
    <t>Kunzelmann</t>
  </si>
  <si>
    <t>Kalle</t>
  </si>
  <si>
    <t>18.12.2013</t>
  </si>
  <si>
    <t>09.03.2018</t>
  </si>
  <si>
    <t>Oscar</t>
  </si>
  <si>
    <t>28.06.2015</t>
  </si>
  <si>
    <t>13.10.2019</t>
  </si>
  <si>
    <t>Sam (Maraton)</t>
  </si>
  <si>
    <t>Rottweiler-Pudel-Mix</t>
  </si>
  <si>
    <t xml:space="preserve">Christina </t>
  </si>
  <si>
    <t>10.03.2020</t>
  </si>
  <si>
    <t>22.04.2017</t>
  </si>
  <si>
    <t>Tomys</t>
  </si>
  <si>
    <t>Lari</t>
  </si>
  <si>
    <t>Babalu</t>
  </si>
  <si>
    <t>07.07.2010</t>
  </si>
  <si>
    <t>06.09.2017</t>
  </si>
  <si>
    <t>18.04.2015</t>
  </si>
  <si>
    <t>28.07.2019</t>
  </si>
  <si>
    <t>14.05.2014</t>
  </si>
  <si>
    <t>30.07.2018</t>
  </si>
  <si>
    <t>Chantal</t>
  </si>
  <si>
    <t>11.03.2013</t>
  </si>
  <si>
    <t>Gotthier</t>
  </si>
  <si>
    <t>12.07.2015</t>
  </si>
  <si>
    <t>14.03.2018</t>
  </si>
  <si>
    <t>Danner</t>
  </si>
  <si>
    <t>Lohr</t>
  </si>
  <si>
    <t>27.05.2015</t>
  </si>
  <si>
    <t>05.10.2018</t>
  </si>
  <si>
    <t>19.09.2019</t>
  </si>
  <si>
    <t>Heisenberg</t>
  </si>
  <si>
    <t>Noah</t>
  </si>
  <si>
    <t>30.11.2017</t>
  </si>
  <si>
    <t>Michels</t>
  </si>
  <si>
    <t xml:space="preserve">Kora </t>
  </si>
  <si>
    <t>02.05.2013</t>
  </si>
  <si>
    <t>30.07.2019</t>
  </si>
  <si>
    <t>Minery</t>
  </si>
  <si>
    <t>Siegrid</t>
  </si>
  <si>
    <t>03.11.2019</t>
  </si>
  <si>
    <t>Leica</t>
  </si>
  <si>
    <t>07.04.2015</t>
  </si>
  <si>
    <t>20.12.2019</t>
  </si>
  <si>
    <t>Bubbels</t>
  </si>
  <si>
    <t>17.01.2012</t>
  </si>
  <si>
    <t>20.07.2019</t>
  </si>
  <si>
    <t>Yoomee</t>
  </si>
  <si>
    <t>30.01.2012</t>
  </si>
  <si>
    <t>21.02.2019</t>
  </si>
  <si>
    <t>01.01.2015</t>
  </si>
  <si>
    <t>01.01.2018</t>
  </si>
  <si>
    <t>Gustav</t>
  </si>
  <si>
    <t>Nannette</t>
  </si>
  <si>
    <t>Frey</t>
  </si>
  <si>
    <t>Lia</t>
  </si>
  <si>
    <t xml:space="preserve">Jana </t>
  </si>
  <si>
    <t>28.09.2015</t>
  </si>
  <si>
    <t>20.12.2018</t>
  </si>
  <si>
    <t xml:space="preserve">Schleich </t>
  </si>
  <si>
    <t>Daja</t>
  </si>
  <si>
    <t>02.12.2015</t>
  </si>
  <si>
    <t>Haarmann</t>
  </si>
  <si>
    <t>Jason</t>
  </si>
  <si>
    <t>Shelti-Mix</t>
  </si>
  <si>
    <t>Josephin</t>
  </si>
  <si>
    <t>27.05.2013</t>
  </si>
  <si>
    <t xml:space="preserve">Pep (Stormy Seas Idir) </t>
  </si>
  <si>
    <t>29.05.2014</t>
  </si>
  <si>
    <t>12.10.2018</t>
  </si>
  <si>
    <t>Fries</t>
  </si>
  <si>
    <t>Dundee</t>
  </si>
  <si>
    <t>30.12.2017</t>
  </si>
  <si>
    <t>Smilla (Insomnium Amaretto Flirt)</t>
  </si>
  <si>
    <t xml:space="preserve">Helen Marie </t>
  </si>
  <si>
    <t>02.06.2015</t>
  </si>
  <si>
    <t>Stübiger</t>
  </si>
  <si>
    <t>Whiskey (Rionu vom Haus Gräfenbach)</t>
  </si>
  <si>
    <t>Nova Scotia Duck Tolling Retriever</t>
  </si>
  <si>
    <t>Natalie</t>
  </si>
  <si>
    <t>17.12.2011</t>
  </si>
  <si>
    <t>Löw</t>
  </si>
  <si>
    <t>Carina</t>
  </si>
  <si>
    <t>26.07.2015</t>
  </si>
  <si>
    <t>20.10.2017</t>
  </si>
  <si>
    <t>Ständecke</t>
  </si>
  <si>
    <t>27.06.2015</t>
  </si>
  <si>
    <t>01.11.2019</t>
  </si>
  <si>
    <t>13.11.2013</t>
  </si>
  <si>
    <t>Dellner</t>
  </si>
  <si>
    <t>Jake</t>
  </si>
  <si>
    <t>10.11.2014</t>
  </si>
  <si>
    <t>22.04.2019</t>
  </si>
  <si>
    <t>Rehnelt</t>
  </si>
  <si>
    <t>Quastro</t>
  </si>
  <si>
    <t>29.07.2015</t>
  </si>
  <si>
    <t>22.10.2018</t>
  </si>
  <si>
    <t>Mulch</t>
  </si>
  <si>
    <t>Labrador-Shepard-Mix</t>
  </si>
  <si>
    <t>01.10.2011</t>
  </si>
  <si>
    <t>Crombach</t>
  </si>
  <si>
    <t>Otto</t>
  </si>
  <si>
    <t>24.03.2014</t>
  </si>
  <si>
    <t>24.07.2018</t>
  </si>
  <si>
    <t>08.04.2015</t>
  </si>
  <si>
    <t xml:space="preserve">Brändel </t>
  </si>
  <si>
    <t xml:space="preserve">Fips </t>
  </si>
  <si>
    <t xml:space="preserve">Alex </t>
  </si>
  <si>
    <t>08.08.2013</t>
  </si>
  <si>
    <t>24.10.2019</t>
  </si>
  <si>
    <t xml:space="preserve">Hüsken </t>
  </si>
  <si>
    <t xml:space="preserve">Fame </t>
  </si>
  <si>
    <t>08.02.2015</t>
  </si>
  <si>
    <t xml:space="preserve">Emma </t>
  </si>
  <si>
    <t>09.06.2015</t>
  </si>
  <si>
    <t>11.11.2019</t>
  </si>
  <si>
    <t>Amy Blue</t>
  </si>
  <si>
    <t>19.09.2014</t>
  </si>
  <si>
    <t>05.01.2019</t>
  </si>
  <si>
    <t>Behrens</t>
  </si>
  <si>
    <t>Badke</t>
  </si>
  <si>
    <t>Kenai</t>
  </si>
  <si>
    <t>18.09.2017</t>
  </si>
  <si>
    <t>Butkus</t>
  </si>
  <si>
    <t>Finya</t>
  </si>
  <si>
    <t>03.06.2013</t>
  </si>
  <si>
    <t>Landwehr</t>
  </si>
  <si>
    <t>Barney</t>
  </si>
  <si>
    <t>23.04.2015</t>
  </si>
  <si>
    <t>29.08.2019</t>
  </si>
  <si>
    <t>Irena</t>
  </si>
  <si>
    <t>06.08.2010</t>
  </si>
  <si>
    <t>Schuller</t>
  </si>
  <si>
    <t>Seven</t>
  </si>
  <si>
    <t>17.02.2016</t>
  </si>
  <si>
    <t>Walz</t>
  </si>
  <si>
    <t>29.05.2015</t>
  </si>
  <si>
    <t>Friedmann</t>
  </si>
  <si>
    <t>Milian</t>
  </si>
  <si>
    <t>Schlöger</t>
  </si>
  <si>
    <t>Kiara</t>
  </si>
  <si>
    <t>09.02.2020</t>
  </si>
  <si>
    <t>Reinke</t>
  </si>
  <si>
    <t>JETT</t>
  </si>
  <si>
    <t>Halya dit Hyona</t>
  </si>
  <si>
    <t>17.07.2012</t>
  </si>
  <si>
    <t>09.02.2018</t>
  </si>
  <si>
    <t>Speisser</t>
  </si>
  <si>
    <t>Ilya</t>
  </si>
  <si>
    <t>16.08.2013</t>
  </si>
  <si>
    <t>Leader</t>
  </si>
  <si>
    <t>Eric</t>
  </si>
  <si>
    <t>27.02.2017</t>
  </si>
  <si>
    <t>13.06.2017</t>
  </si>
  <si>
    <t>Luna A</t>
  </si>
  <si>
    <t>15.08.2015</t>
  </si>
  <si>
    <t>15.12.2018</t>
  </si>
  <si>
    <t>Bachan</t>
  </si>
  <si>
    <t>06.04.2014</t>
  </si>
  <si>
    <t>Jolly</t>
  </si>
  <si>
    <t>02.02.2013</t>
  </si>
  <si>
    <t>07.05.2017</t>
  </si>
  <si>
    <t>LILOU</t>
  </si>
  <si>
    <t>KIM</t>
  </si>
  <si>
    <t>11.01.2015</t>
  </si>
  <si>
    <t>EDEN</t>
  </si>
  <si>
    <t>Husky</t>
  </si>
  <si>
    <t>THIERRY</t>
  </si>
  <si>
    <t>26.08.2014</t>
  </si>
  <si>
    <t>04.01.2018</t>
  </si>
  <si>
    <t>LOOPING</t>
  </si>
  <si>
    <t>MICHAEL</t>
  </si>
  <si>
    <t>05.05.2015</t>
  </si>
  <si>
    <t>24.05.2017</t>
  </si>
  <si>
    <t>WEGRICH</t>
  </si>
  <si>
    <t>Bumblebee</t>
  </si>
  <si>
    <t>Marion und Marco</t>
  </si>
  <si>
    <t>13.09.2014</t>
  </si>
  <si>
    <t>Oswin</t>
  </si>
  <si>
    <t>01.02.2016</t>
  </si>
  <si>
    <t>05.04.2017</t>
  </si>
  <si>
    <t>Josso</t>
  </si>
  <si>
    <t>08.03.2015</t>
  </si>
  <si>
    <t>10.10.2019</t>
  </si>
  <si>
    <t>Kessy</t>
  </si>
  <si>
    <t>22.12.2013</t>
  </si>
  <si>
    <t>Brzozowski</t>
  </si>
  <si>
    <t>26.01.2019</t>
  </si>
  <si>
    <t>Ron</t>
  </si>
  <si>
    <t>07.07.2011</t>
  </si>
  <si>
    <t>09.12.2018</t>
  </si>
  <si>
    <t>Mondrzik</t>
  </si>
  <si>
    <t xml:space="preserve">Monika </t>
  </si>
  <si>
    <t>20.11.2013</t>
  </si>
  <si>
    <t>22.02.2017</t>
  </si>
  <si>
    <t>Pino</t>
  </si>
  <si>
    <t xml:space="preserve">Jenny </t>
  </si>
  <si>
    <t>09.11.2014</t>
  </si>
  <si>
    <t>29.07.2017</t>
  </si>
  <si>
    <t>Tigges</t>
  </si>
  <si>
    <t>Jump</t>
  </si>
  <si>
    <t xml:space="preserve">Sebastien </t>
  </si>
  <si>
    <t>25.10.2014</t>
  </si>
  <si>
    <t>Hermen</t>
  </si>
  <si>
    <t>Manoush</t>
  </si>
  <si>
    <t>Pauli</t>
  </si>
  <si>
    <t>Maud</t>
  </si>
  <si>
    <t>Bedel</t>
  </si>
  <si>
    <t>28.08.2012</t>
  </si>
  <si>
    <t>30.01.2019</t>
  </si>
  <si>
    <t>Elsenbruch</t>
  </si>
  <si>
    <t>Belgischer Schäferhund</t>
  </si>
  <si>
    <t>25.06.2015</t>
  </si>
  <si>
    <t>Reif</t>
  </si>
  <si>
    <t>Jiro</t>
  </si>
  <si>
    <t>Jan</t>
  </si>
  <si>
    <t>02.08.2015</t>
  </si>
  <si>
    <t>21.12.2019</t>
  </si>
  <si>
    <t>Langhammer</t>
  </si>
  <si>
    <t>13.08.2015</t>
  </si>
  <si>
    <t>23.09.2017</t>
  </si>
  <si>
    <t>03.11.2012</t>
  </si>
  <si>
    <t>23.01.2015</t>
  </si>
  <si>
    <t>20.04.2019</t>
  </si>
  <si>
    <t>28.02.2012</t>
  </si>
  <si>
    <t>17.10.2019</t>
  </si>
  <si>
    <t>Bautz</t>
  </si>
  <si>
    <t>Border Collie/Harzer Fuchs</t>
  </si>
  <si>
    <t>JOOKIE</t>
  </si>
  <si>
    <t>Delphine</t>
  </si>
  <si>
    <t>24.09.2014</t>
  </si>
  <si>
    <t>BEAUCHESNE</t>
  </si>
  <si>
    <t>ISY</t>
  </si>
  <si>
    <t>Portugiesischer Wasserhund</t>
  </si>
  <si>
    <t>09.04.2015</t>
  </si>
  <si>
    <t>27.07.2019</t>
  </si>
  <si>
    <t>Mattern-Nicolaus</t>
  </si>
  <si>
    <t>HOANIE</t>
  </si>
  <si>
    <t>20.10.2012</t>
  </si>
  <si>
    <t>18.11.2015</t>
  </si>
  <si>
    <t>15.01.2020</t>
  </si>
  <si>
    <t>25.06.2011</t>
  </si>
  <si>
    <t>16.01.2020</t>
  </si>
  <si>
    <t>05.05.2012</t>
  </si>
  <si>
    <t>07.05.2018</t>
  </si>
  <si>
    <t>21.09.2012</t>
  </si>
  <si>
    <t>Salomo</t>
  </si>
  <si>
    <t>Darcey</t>
  </si>
  <si>
    <t>Löneke</t>
  </si>
  <si>
    <t>Freya</t>
  </si>
  <si>
    <t>15.10.2015</t>
  </si>
  <si>
    <t>13.01.2019</t>
  </si>
  <si>
    <t>Yvette</t>
  </si>
  <si>
    <t>Rüdiger</t>
  </si>
  <si>
    <t>20.02.2014</t>
  </si>
  <si>
    <t>Leiko</t>
  </si>
  <si>
    <t>16.08.2017</t>
  </si>
  <si>
    <t>LASKO DU PARADIS DE LEMYANA</t>
  </si>
  <si>
    <t>28.03.2017</t>
  </si>
  <si>
    <t>GOLIATH DE LA VALLEE DES TRAPPEURS</t>
  </si>
  <si>
    <t>25.12.2011</t>
  </si>
  <si>
    <t>LILA</t>
  </si>
  <si>
    <t>18.05.2015</t>
  </si>
  <si>
    <t>21.07.2017</t>
  </si>
  <si>
    <t>FILAN</t>
  </si>
  <si>
    <t>24.09.2010</t>
  </si>
  <si>
    <t>24.01.2020</t>
  </si>
  <si>
    <t>Tatu</t>
  </si>
  <si>
    <t>Pieczyk</t>
  </si>
  <si>
    <t>Spirit</t>
  </si>
  <si>
    <t>16.03.2015</t>
  </si>
  <si>
    <t>13.11.2017</t>
  </si>
  <si>
    <t>08.11.2015</t>
  </si>
  <si>
    <t>30.01.2020</t>
  </si>
  <si>
    <t>ARIA</t>
  </si>
  <si>
    <t>22.03.2014</t>
  </si>
  <si>
    <t>22.06.2017</t>
  </si>
  <si>
    <t>FANCY</t>
  </si>
  <si>
    <t>Roland</t>
  </si>
  <si>
    <t>12.02.2009</t>
  </si>
  <si>
    <t>Weinmesser</t>
  </si>
  <si>
    <t>BENJI</t>
  </si>
  <si>
    <t>12.09.2019</t>
  </si>
  <si>
    <t>Wonisch</t>
  </si>
  <si>
    <t>CHARLIE</t>
  </si>
  <si>
    <t>18.04.2017</t>
  </si>
  <si>
    <t>Hauer</t>
  </si>
  <si>
    <t>BONI</t>
  </si>
  <si>
    <t>18.02.2020</t>
  </si>
  <si>
    <t>Prager</t>
  </si>
  <si>
    <t>MUFFIN</t>
  </si>
  <si>
    <t>Vidmar</t>
  </si>
  <si>
    <t>FEBEE</t>
  </si>
  <si>
    <t>CINDER</t>
  </si>
  <si>
    <t>Kroatischer Hütehund</t>
  </si>
  <si>
    <t>Avender</t>
  </si>
  <si>
    <t>FANNI</t>
  </si>
  <si>
    <t>03.10.2018</t>
  </si>
  <si>
    <t>FINA</t>
  </si>
  <si>
    <t>BALOU</t>
  </si>
  <si>
    <t>15.09.2015</t>
  </si>
  <si>
    <t>14.12.2018</t>
  </si>
  <si>
    <t>Laschet</t>
  </si>
  <si>
    <t>NICO</t>
  </si>
  <si>
    <t xml:space="preserve">Katharina </t>
  </si>
  <si>
    <t>SAMMY</t>
  </si>
  <si>
    <t>15.09.2018</t>
  </si>
  <si>
    <t>Kammermayer</t>
  </si>
  <si>
    <t>21.07.2011</t>
  </si>
  <si>
    <t>03.04.2020</t>
  </si>
  <si>
    <t>Mala</t>
  </si>
  <si>
    <t>15.06.2014</t>
  </si>
  <si>
    <t>Benedikt</t>
  </si>
  <si>
    <t>25.03.2013</t>
  </si>
  <si>
    <t>Volke</t>
  </si>
  <si>
    <t>26.09.2011</t>
  </si>
  <si>
    <t>Greulich</t>
  </si>
  <si>
    <t>21.04.2015</t>
  </si>
  <si>
    <t>15.08.2017</t>
  </si>
  <si>
    <t>Funkert</t>
  </si>
  <si>
    <t>Nelson</t>
  </si>
  <si>
    <t>13.06.2019</t>
  </si>
  <si>
    <t>Heiter</t>
  </si>
  <si>
    <t>Lemm</t>
  </si>
  <si>
    <t>01.06.2012</t>
  </si>
  <si>
    <t>30.08.2018</t>
  </si>
  <si>
    <t>Selah</t>
  </si>
  <si>
    <t>28.01.2010</t>
  </si>
  <si>
    <t>19.08.2018</t>
  </si>
  <si>
    <t>19.08.2017</t>
  </si>
  <si>
    <t>Kappel</t>
  </si>
  <si>
    <t>Carol</t>
  </si>
  <si>
    <t>08.01.2019</t>
  </si>
  <si>
    <t>Riexinger</t>
  </si>
  <si>
    <t>01.06.2016</t>
  </si>
  <si>
    <t>25.08.2019</t>
  </si>
  <si>
    <t>Monti</t>
  </si>
  <si>
    <t>23.03.2014</t>
  </si>
  <si>
    <t>07.10.2019</t>
  </si>
  <si>
    <t>Töpfer</t>
  </si>
  <si>
    <t>01.11.2014</t>
  </si>
  <si>
    <t>07.11.2018</t>
  </si>
  <si>
    <t>09.04.2011</t>
  </si>
  <si>
    <t>Mauk</t>
  </si>
  <si>
    <t>Finnley</t>
  </si>
  <si>
    <t>Tabitha</t>
  </si>
  <si>
    <t>26.11.2015</t>
  </si>
  <si>
    <t>Küppers</t>
  </si>
  <si>
    <t>Winkelsesser</t>
  </si>
  <si>
    <t>17.12.2015</t>
  </si>
  <si>
    <t>28.04.2019</t>
  </si>
  <si>
    <t>15.01.2013</t>
  </si>
  <si>
    <t>28.04.2020</t>
  </si>
  <si>
    <t>14.02.2016</t>
  </si>
  <si>
    <t>23.05.2017</t>
  </si>
  <si>
    <t>Steinmeyer</t>
  </si>
  <si>
    <t>Runa</t>
  </si>
  <si>
    <t>12.06.2013</t>
  </si>
  <si>
    <t>17.07.2018</t>
  </si>
  <si>
    <t>Veldkamp</t>
  </si>
  <si>
    <t>5. Vaterstettener Flyballturnier</t>
  </si>
  <si>
    <t>05.13.2017</t>
  </si>
  <si>
    <t>Ela</t>
  </si>
  <si>
    <t>W</t>
  </si>
  <si>
    <t>NT</t>
  </si>
  <si>
    <t>L</t>
  </si>
  <si>
    <t>T</t>
  </si>
  <si>
    <t>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</si>
</sst>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&quot;fl&quot;\ #,##0_-;&quot;fl&quot;\ #,##0\-"/>
    <numFmt numFmtId="190" formatCode="&quot;fl&quot;\ #,##0_-;[Red]&quot;fl&quot;\ #,##0\-"/>
    <numFmt numFmtId="191" formatCode="&quot;fl&quot;\ #,##0.00_-;&quot;fl&quot;\ #,##0.00\-"/>
    <numFmt numFmtId="192" formatCode="&quot;fl&quot;\ #,##0.00_-;[Red]&quot;fl&quot;\ #,##0.00\-"/>
    <numFmt numFmtId="193" formatCode="_-&quot;fl&quot;\ * #,##0_-;_-&quot;fl&quot;\ * #,##0\-;_-&quot;fl&quot;\ * &quot;-&quot;_-;_-@_-"/>
    <numFmt numFmtId="194" formatCode="_-&quot;fl&quot;\ * #,##0.00_-;_-&quot;fl&quot;\ * #,##0.00\-;_-&quot;fl&quot;\ 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\ &quot;FB&quot;;\-#,##0\ &quot;FB&quot;"/>
    <numFmt numFmtId="202" formatCode="#,##0\ &quot;FB&quot;;[Red]\-#,##0\ &quot;FB&quot;"/>
    <numFmt numFmtId="203" formatCode="#,##0.00\ &quot;FB&quot;;\-#,##0.00\ &quot;FB&quot;"/>
    <numFmt numFmtId="204" formatCode="#,##0.00\ &quot;FB&quot;;[Red]\-#,##0.00\ &quot;FB&quot;"/>
    <numFmt numFmtId="205" formatCode="_-* #,##0\ &quot;FB&quot;_-;\-* #,##0\ &quot;FB&quot;_-;_-* &quot;-&quot;\ &quot;FB&quot;_-;_-@_-"/>
    <numFmt numFmtId="206" formatCode="_-* #,##0\ _F_B_-;\-* #,##0\ _F_B_-;_-* &quot;-&quot;\ _F_B_-;_-@_-"/>
    <numFmt numFmtId="207" formatCode="_-* #,##0.00\ &quot;FB&quot;_-;\-* #,##0.00\ &quot;FB&quot;_-;_-* &quot;-&quot;??\ &quot;FB&quot;_-;_-@_-"/>
    <numFmt numFmtId="208" formatCode="_-* #,##0.00\ _F_B_-;\-* #,##0.00\ _F_B_-;_-* &quot;-&quot;??\ _F_B_-;_-@_-"/>
    <numFmt numFmtId="209" formatCode="dd\-mm\-yy"/>
    <numFmt numFmtId="210" formatCode="d\ mmmm\ yyyy"/>
    <numFmt numFmtId="211" formatCode="m/d/yyyy"/>
    <numFmt numFmtId="212" formatCode="0.000"/>
    <numFmt numFmtId="213" formatCode="0.0000"/>
    <numFmt numFmtId="214" formatCode="d\-m"/>
    <numFmt numFmtId="215" formatCode="d\-mm\-yy"/>
    <numFmt numFmtId="216" formatCode="&quot;Ja&quot;;&quot;Ja&quot;;&quot;Nee&quot;"/>
    <numFmt numFmtId="217" formatCode="&quot;Waar&quot;;&quot;Waar&quot;;&quot;Niet waar&quot;"/>
    <numFmt numFmtId="218" formatCode="&quot;Aan&quot;;&quot;Aan&quot;;&quot;Uit&quot;"/>
    <numFmt numFmtId="219" formatCode="d/mm/yyyy;@"/>
    <numFmt numFmtId="220" formatCode="[$-407]dddd\,\ d\.\ mmmm\ yyyy"/>
    <numFmt numFmtId="221" formatCode="dd/mm/yy;@"/>
    <numFmt numFmtId="222" formatCode="dd\.mm\.yyyy\ hh:mm:ss"/>
  </numFmts>
  <fonts count="8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sz val="14"/>
      <color indexed="2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8"/>
      <color indexed="10"/>
      <name val="Arial"/>
      <family val="2"/>
    </font>
    <font>
      <b/>
      <sz val="16"/>
      <color indexed="23"/>
      <name val="Arial"/>
      <family val="2"/>
    </font>
    <font>
      <sz val="18"/>
      <color indexed="23"/>
      <name val="Arial"/>
      <family val="2"/>
    </font>
    <font>
      <sz val="12"/>
      <color indexed="23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sz val="24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41"/>
      <name val="Arial"/>
      <family val="2"/>
    </font>
    <font>
      <sz val="10"/>
      <color indexed="45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10"/>
      </bottom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646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2" fontId="35" fillId="0" borderId="16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0" fillId="0" borderId="0" xfId="0" applyNumberFormat="1" applyFill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0" xfId="0" applyNumberFormat="1" applyFill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6" fillId="0" borderId="18" xfId="0" applyFont="1" applyFill="1" applyBorder="1" applyAlignment="1" applyProtection="1">
      <alignment horizontal="left"/>
      <protection hidden="1"/>
    </xf>
    <xf numFmtId="0" fontId="16" fillId="0" borderId="19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6" fillId="0" borderId="20" xfId="0" applyFont="1" applyFill="1" applyBorder="1" applyAlignment="1" applyProtection="1">
      <alignment horizontal="left"/>
      <protection hidden="1"/>
    </xf>
    <xf numFmtId="0" fontId="16" fillId="0" borderId="21" xfId="0" applyFont="1" applyFill="1" applyBorder="1" applyAlignment="1" applyProtection="1">
      <alignment horizontal="left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right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left" vertical="center"/>
      <protection hidden="1"/>
    </xf>
    <xf numFmtId="0" fontId="22" fillId="33" borderId="25" xfId="0" applyFont="1" applyFill="1" applyBorder="1" applyAlignment="1" applyProtection="1">
      <alignment horizontal="right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right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left" vertical="center"/>
      <protection hidden="1"/>
    </xf>
    <xf numFmtId="0" fontId="22" fillId="33" borderId="3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31" xfId="0" applyNumberFormat="1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40" fillId="0" borderId="0" xfId="0" applyFont="1" applyFill="1" applyAlignment="1" applyProtection="1">
      <alignment horizontal="center"/>
      <protection hidden="1"/>
    </xf>
    <xf numFmtId="0" fontId="0" fillId="0" borderId="34" xfId="0" applyNumberFormat="1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0" fillId="0" borderId="36" xfId="0" applyNumberFormat="1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38" xfId="0" applyNumberFormat="1" applyFill="1" applyBorder="1" applyAlignment="1" applyProtection="1">
      <alignment horizontal="center"/>
      <protection hidden="1"/>
    </xf>
    <xf numFmtId="0" fontId="0" fillId="0" borderId="39" xfId="0" applyNumberFormat="1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0" fillId="0" borderId="33" xfId="0" applyNumberFormat="1" applyFill="1" applyBorder="1" applyAlignment="1" applyProtection="1">
      <alignment horizontal="center"/>
      <protection hidden="1"/>
    </xf>
    <xf numFmtId="0" fontId="0" fillId="0" borderId="41" xfId="0" applyNumberFormat="1" applyFill="1" applyBorder="1" applyAlignment="1" applyProtection="1">
      <alignment horizontal="center"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37" fillId="0" borderId="4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42" xfId="0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6" fillId="0" borderId="43" xfId="0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34" borderId="45" xfId="0" applyFont="1" applyFill="1" applyBorder="1" applyAlignment="1" applyProtection="1" quotePrefix="1">
      <alignment horizontal="center" vertical="center"/>
      <protection hidden="1"/>
    </xf>
    <xf numFmtId="2" fontId="7" fillId="34" borderId="46" xfId="0" applyNumberFormat="1" applyFont="1" applyFill="1" applyBorder="1" applyAlignment="1" applyProtection="1">
      <alignment horizontal="center" vertical="center"/>
      <protection hidden="1"/>
    </xf>
    <xf numFmtId="2" fontId="7" fillId="34" borderId="13" xfId="0" applyNumberFormat="1" applyFont="1" applyFill="1" applyBorder="1" applyAlignment="1" applyProtection="1">
      <alignment horizontal="center" vertical="center"/>
      <protection hidden="1"/>
    </xf>
    <xf numFmtId="2" fontId="7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13" xfId="0" applyFont="1" applyFill="1" applyBorder="1" applyAlignment="1" applyProtection="1">
      <alignment horizontal="center" vertical="center"/>
      <protection hidden="1"/>
    </xf>
    <xf numFmtId="0" fontId="34" fillId="34" borderId="13" xfId="0" applyFont="1" applyFill="1" applyBorder="1" applyAlignment="1" applyProtection="1" quotePrefix="1">
      <alignment horizontal="center" vertical="center"/>
      <protection hidden="1"/>
    </xf>
    <xf numFmtId="0" fontId="34" fillId="34" borderId="47" xfId="0" applyFont="1" applyFill="1" applyBorder="1" applyAlignment="1" applyProtection="1" quotePrefix="1">
      <alignment horizontal="center" vertical="center"/>
      <protection hidden="1"/>
    </xf>
    <xf numFmtId="0" fontId="32" fillId="34" borderId="46" xfId="0" applyFont="1" applyFill="1" applyBorder="1" applyAlignment="1" applyProtection="1">
      <alignment horizontal="center" vertical="center"/>
      <protection hidden="1"/>
    </xf>
    <xf numFmtId="0" fontId="32" fillId="34" borderId="13" xfId="0" applyFont="1" applyFill="1" applyBorder="1" applyAlignment="1" applyProtection="1">
      <alignment horizontal="center" vertical="center"/>
      <protection hidden="1"/>
    </xf>
    <xf numFmtId="0" fontId="32" fillId="34" borderId="47" xfId="0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2" fontId="7" fillId="34" borderId="46" xfId="0" applyNumberFormat="1" applyFont="1" applyFill="1" applyBorder="1" applyAlignment="1" applyProtection="1" quotePrefix="1">
      <alignment horizontal="center" vertical="center"/>
      <protection hidden="1"/>
    </xf>
    <xf numFmtId="0" fontId="7" fillId="34" borderId="13" xfId="0" applyFont="1" applyFill="1" applyBorder="1" applyAlignment="1" applyProtection="1" quotePrefix="1">
      <alignment horizontal="center" vertical="center"/>
      <protection hidden="1"/>
    </xf>
    <xf numFmtId="0" fontId="7" fillId="34" borderId="48" xfId="0" applyFont="1" applyFill="1" applyBorder="1" applyAlignment="1" applyProtection="1" quotePrefix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right"/>
      <protection hidden="1"/>
    </xf>
    <xf numFmtId="0" fontId="11" fillId="0" borderId="16" xfId="0" applyFont="1" applyFill="1" applyBorder="1" applyAlignment="1" applyProtection="1" quotePrefix="1">
      <alignment horizontal="center"/>
      <protection hidden="1"/>
    </xf>
    <xf numFmtId="0" fontId="11" fillId="0" borderId="16" xfId="0" applyFont="1" applyFill="1" applyBorder="1" applyAlignment="1" applyProtection="1">
      <alignment horizontal="left"/>
      <protection hidden="1"/>
    </xf>
    <xf numFmtId="0" fontId="8" fillId="0" borderId="16" xfId="0" applyFont="1" applyFill="1" applyBorder="1" applyAlignment="1" applyProtection="1">
      <alignment horizontal="left"/>
      <protection hidden="1"/>
    </xf>
    <xf numFmtId="0" fontId="8" fillId="0" borderId="49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right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44" xfId="0" applyNumberFormat="1" applyFont="1" applyFill="1" applyBorder="1" applyAlignment="1" applyProtection="1">
      <alignment horizontal="left" vertical="center"/>
      <protection hidden="1"/>
    </xf>
    <xf numFmtId="2" fontId="0" fillId="0" borderId="16" xfId="0" applyNumberFormat="1" applyFont="1" applyFill="1" applyBorder="1" applyAlignment="1" applyProtection="1">
      <alignment horizontal="right" vertical="center"/>
      <protection hidden="1"/>
    </xf>
    <xf numFmtId="0" fontId="0" fillId="0" borderId="44" xfId="0" applyNumberFormat="1" applyFont="1" applyFill="1" applyBorder="1" applyAlignment="1" applyProtection="1">
      <alignment horizontal="center" vertical="center"/>
      <protection hidden="1"/>
    </xf>
    <xf numFmtId="2" fontId="0" fillId="0" borderId="16" xfId="0" applyNumberFormat="1" applyFont="1" applyFill="1" applyBorder="1" applyAlignment="1" applyProtection="1">
      <alignment horizontal="left" vertical="center"/>
      <protection hidden="1"/>
    </xf>
    <xf numFmtId="2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16" xfId="0" applyFont="1" applyFill="1" applyBorder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right" vertical="center"/>
      <protection hidden="1"/>
    </xf>
    <xf numFmtId="0" fontId="14" fillId="0" borderId="16" xfId="0" applyFont="1" applyFill="1" applyBorder="1" applyAlignment="1" applyProtection="1" quotePrefix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14" fillId="0" borderId="16" xfId="0" applyFont="1" applyFill="1" applyBorder="1" applyAlignment="1" applyProtection="1">
      <alignment horizontal="left" vertical="center"/>
      <protection hidden="1"/>
    </xf>
    <xf numFmtId="0" fontId="14" fillId="0" borderId="16" xfId="0" applyFont="1" applyFill="1" applyBorder="1" applyAlignment="1" applyProtection="1" quotePrefix="1">
      <alignment horizontal="left" vertical="center"/>
      <protection hidden="1"/>
    </xf>
    <xf numFmtId="0" fontId="0" fillId="0" borderId="49" xfId="0" applyFont="1" applyFill="1" applyBorder="1" applyAlignment="1" applyProtection="1">
      <alignment horizontal="left" vertical="center"/>
      <protection hidden="1"/>
    </xf>
    <xf numFmtId="0" fontId="15" fillId="34" borderId="5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 quotePrefix="1">
      <alignment horizontal="left"/>
      <protection hidden="1"/>
    </xf>
    <xf numFmtId="0" fontId="16" fillId="0" borderId="0" xfId="0" applyFont="1" applyFill="1" applyAlignment="1" applyProtection="1" quotePrefix="1">
      <alignment/>
      <protection hidden="1"/>
    </xf>
    <xf numFmtId="0" fontId="16" fillId="0" borderId="15" xfId="0" applyFont="1" applyFill="1" applyBorder="1" applyAlignment="1" applyProtection="1">
      <alignment/>
      <protection hidden="1"/>
    </xf>
    <xf numFmtId="0" fontId="17" fillId="35" borderId="51" xfId="0" applyFont="1" applyFill="1" applyBorder="1" applyAlignment="1" applyProtection="1">
      <alignment horizontal="center"/>
      <protection hidden="1"/>
    </xf>
    <xf numFmtId="0" fontId="25" fillId="0" borderId="48" xfId="0" applyFont="1" applyFill="1" applyBorder="1" applyAlignment="1" applyProtection="1">
      <alignment horizontal="left" indent="1"/>
      <protection hidden="1"/>
    </xf>
    <xf numFmtId="0" fontId="25" fillId="0" borderId="0" xfId="0" applyFont="1" applyFill="1" applyBorder="1" applyAlignment="1" applyProtection="1">
      <alignment horizontal="left" indent="1"/>
      <protection hidden="1"/>
    </xf>
    <xf numFmtId="0" fontId="0" fillId="0" borderId="0" xfId="0" applyFont="1" applyFill="1" applyBorder="1" applyAlignment="1" applyProtection="1">
      <alignment horizontal="left" indent="4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left" indent="3"/>
      <protection hidden="1"/>
    </xf>
    <xf numFmtId="0" fontId="26" fillId="0" borderId="0" xfId="0" applyFont="1" applyFill="1" applyBorder="1" applyAlignment="1" applyProtection="1">
      <alignment horizontal="left" indent="1"/>
      <protection locked="0"/>
    </xf>
    <xf numFmtId="2" fontId="10" fillId="0" borderId="43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36" borderId="41" xfId="0" applyFill="1" applyBorder="1" applyAlignment="1" applyProtection="1">
      <alignment horizontal="center"/>
      <protection hidden="1"/>
    </xf>
    <xf numFmtId="0" fontId="0" fillId="36" borderId="41" xfId="0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horizontal="right"/>
      <protection hidden="1"/>
    </xf>
    <xf numFmtId="0" fontId="38" fillId="0" borderId="49" xfId="0" applyNumberFormat="1" applyFont="1" applyFill="1" applyBorder="1" applyAlignment="1" applyProtection="1">
      <alignment horizontal="center"/>
      <protection hidden="1"/>
    </xf>
    <xf numFmtId="0" fontId="12" fillId="0" borderId="49" xfId="0" applyNumberFormat="1" applyFont="1" applyFill="1" applyBorder="1" applyAlignment="1" applyProtection="1">
      <alignment horizontal="right"/>
      <protection hidden="1"/>
    </xf>
    <xf numFmtId="0" fontId="13" fillId="0" borderId="49" xfId="0" applyNumberFormat="1" applyFont="1" applyFill="1" applyBorder="1" applyAlignment="1" applyProtection="1">
      <alignment horizontal="right"/>
      <protection hidden="1"/>
    </xf>
    <xf numFmtId="0" fontId="17" fillId="0" borderId="0" xfId="0" applyNumberFormat="1" applyFont="1" applyFill="1" applyBorder="1" applyAlignment="1" applyProtection="1">
      <alignment horizontal="right"/>
      <protection hidden="1"/>
    </xf>
    <xf numFmtId="0" fontId="17" fillId="0" borderId="12" xfId="0" applyNumberFormat="1" applyFont="1" applyFill="1" applyBorder="1" applyAlignment="1" applyProtection="1">
      <alignment horizontal="right"/>
      <protection hidden="1"/>
    </xf>
    <xf numFmtId="0" fontId="17" fillId="0" borderId="15" xfId="0" applyNumberFormat="1" applyFont="1" applyFill="1" applyBorder="1" applyAlignment="1" applyProtection="1">
      <alignment horizontal="right"/>
      <protection hidden="1"/>
    </xf>
    <xf numFmtId="0" fontId="0" fillId="0" borderId="44" xfId="0" applyNumberFormat="1" applyFont="1" applyBorder="1" applyAlignment="1" applyProtection="1">
      <alignment horizontal="center"/>
      <protection hidden="1"/>
    </xf>
    <xf numFmtId="0" fontId="33" fillId="0" borderId="0" xfId="0" applyNumberFormat="1" applyFont="1" applyFill="1" applyBorder="1" applyAlignment="1" applyProtection="1">
      <alignment horizontal="right"/>
      <protection hidden="1"/>
    </xf>
    <xf numFmtId="0" fontId="4" fillId="0" borderId="44" xfId="0" applyNumberFormat="1" applyFont="1" applyFill="1" applyBorder="1" applyAlignment="1" applyProtection="1">
      <alignment horizontal="right"/>
      <protection hidden="1"/>
    </xf>
    <xf numFmtId="0" fontId="36" fillId="0" borderId="0" xfId="0" applyNumberFormat="1" applyFont="1" applyFill="1" applyBorder="1" applyAlignment="1" applyProtection="1">
      <alignment horizontal="right"/>
      <protection hidden="1"/>
    </xf>
    <xf numFmtId="0" fontId="36" fillId="0" borderId="16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37" borderId="49" xfId="0" applyFont="1" applyFill="1" applyBorder="1" applyAlignment="1" applyProtection="1">
      <alignment horizontal="center"/>
      <protection hidden="1"/>
    </xf>
    <xf numFmtId="2" fontId="9" fillId="34" borderId="16" xfId="0" applyNumberFormat="1" applyFont="1" applyFill="1" applyBorder="1" applyAlignment="1" applyProtection="1">
      <alignment horizontal="right"/>
      <protection hidden="1"/>
    </xf>
    <xf numFmtId="0" fontId="5" fillId="33" borderId="44" xfId="0" applyFont="1" applyFill="1" applyBorder="1" applyAlignment="1" applyProtection="1">
      <alignment horizontal="right"/>
      <protection hidden="1"/>
    </xf>
    <xf numFmtId="0" fontId="5" fillId="34" borderId="44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 quotePrefix="1">
      <alignment horizontal="right" vertical="center"/>
      <protection hidden="1"/>
    </xf>
    <xf numFmtId="0" fontId="14" fillId="0" borderId="0" xfId="0" applyFont="1" applyFill="1" applyBorder="1" applyAlignment="1" applyProtection="1" quotePrefix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29" fillId="0" borderId="11" xfId="0" applyFont="1" applyFill="1" applyBorder="1" applyAlignment="1" applyProtection="1">
      <alignment horizontal="left" vertical="center"/>
      <protection hidden="1"/>
    </xf>
    <xf numFmtId="0" fontId="17" fillId="0" borderId="12" xfId="0" applyFont="1" applyFill="1" applyBorder="1" applyAlignment="1" applyProtection="1">
      <alignment horizontal="right"/>
      <protection hidden="1"/>
    </xf>
    <xf numFmtId="0" fontId="17" fillId="38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Border="1" applyAlignment="1">
      <alignment horizontal="center" vertical="center" textRotation="180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NumberFormat="1" applyFont="1" applyFill="1" applyBorder="1" applyAlignment="1" applyProtection="1">
      <alignment horizontal="center" vertical="center" textRotation="180"/>
      <protection hidden="1"/>
    </xf>
    <xf numFmtId="0" fontId="29" fillId="0" borderId="13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>
      <alignment horizontal="center" vertical="center" textRotation="180"/>
    </xf>
    <xf numFmtId="0" fontId="41" fillId="0" borderId="0" xfId="0" applyNumberFormat="1" applyFont="1" applyAlignment="1">
      <alignment horizontal="center" vertical="center" textRotation="180"/>
    </xf>
    <xf numFmtId="0" fontId="29" fillId="0" borderId="13" xfId="0" applyNumberFormat="1" applyFont="1" applyFill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center"/>
      <protection hidden="1"/>
    </xf>
    <xf numFmtId="0" fontId="29" fillId="0" borderId="43" xfId="0" applyNumberFormat="1" applyFont="1" applyFill="1" applyBorder="1" applyAlignment="1" applyProtection="1">
      <alignment horizontal="left" vertical="center"/>
      <protection hidden="1"/>
    </xf>
    <xf numFmtId="0" fontId="29" fillId="0" borderId="43" xfId="0" applyFont="1" applyFill="1" applyBorder="1" applyAlignment="1" applyProtection="1">
      <alignment horizontal="left" vertical="center"/>
      <protection hidden="1"/>
    </xf>
    <xf numFmtId="0" fontId="17" fillId="0" borderId="16" xfId="0" applyFont="1" applyFill="1" applyBorder="1" applyAlignment="1" applyProtection="1">
      <alignment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41" fillId="0" borderId="16" xfId="0" applyNumberFormat="1" applyFont="1" applyFill="1" applyBorder="1" applyAlignment="1" applyProtection="1">
      <alignment horizontal="center" vertical="center" textRotation="180"/>
      <protection hidden="1"/>
    </xf>
    <xf numFmtId="0" fontId="41" fillId="0" borderId="16" xfId="0" applyFont="1" applyBorder="1" applyAlignment="1">
      <alignment horizontal="center" vertical="center" textRotation="180"/>
    </xf>
    <xf numFmtId="0" fontId="17" fillId="0" borderId="0" xfId="0" applyFont="1" applyFill="1" applyBorder="1" applyAlignment="1" applyProtection="1">
      <alignment horizontal="right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40" fillId="0" borderId="15" xfId="0" applyFont="1" applyFill="1" applyBorder="1" applyAlignment="1" applyProtection="1">
      <alignment horizontal="right"/>
      <protection hidden="1"/>
    </xf>
    <xf numFmtId="0" fontId="17" fillId="38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 applyProtection="1">
      <alignment horizontal="right"/>
      <protection hidden="1"/>
    </xf>
    <xf numFmtId="0" fontId="17" fillId="0" borderId="52" xfId="0" applyFont="1" applyBorder="1" applyAlignment="1" applyProtection="1">
      <alignment horizontal="center"/>
      <protection hidden="1"/>
    </xf>
    <xf numFmtId="0" fontId="17" fillId="0" borderId="24" xfId="0" applyFont="1" applyFill="1" applyBorder="1" applyAlignment="1" applyProtection="1">
      <alignment horizont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right"/>
      <protection hidden="1"/>
    </xf>
    <xf numFmtId="0" fontId="40" fillId="0" borderId="24" xfId="0" applyFont="1" applyFill="1" applyBorder="1" applyAlignment="1" applyProtection="1">
      <alignment horizontal="right"/>
      <protection hidden="1"/>
    </xf>
    <xf numFmtId="0" fontId="17" fillId="0" borderId="11" xfId="0" applyNumberFormat="1" applyFont="1" applyFill="1" applyBorder="1" applyAlignment="1" applyProtection="1">
      <alignment horizontal="center"/>
      <protection hidden="1"/>
    </xf>
    <xf numFmtId="0" fontId="17" fillId="0" borderId="13" xfId="0" applyNumberFormat="1" applyFont="1" applyFill="1" applyBorder="1" applyAlignment="1" applyProtection="1">
      <alignment horizontal="center"/>
      <protection hidden="1"/>
    </xf>
    <xf numFmtId="0" fontId="17" fillId="0" borderId="13" xfId="0" applyFont="1" applyFill="1" applyBorder="1" applyAlignment="1" applyProtection="1">
      <alignment horizontal="center"/>
      <protection hidden="1"/>
    </xf>
    <xf numFmtId="0" fontId="17" fillId="0" borderId="48" xfId="0" applyFont="1" applyFill="1" applyBorder="1" applyAlignment="1" applyProtection="1">
      <alignment/>
      <protection hidden="1"/>
    </xf>
    <xf numFmtId="0" fontId="17" fillId="0" borderId="53" xfId="0" applyFont="1" applyFill="1" applyBorder="1" applyAlignment="1" applyProtection="1">
      <alignment horizontal="center"/>
      <protection hidden="1"/>
    </xf>
    <xf numFmtId="0" fontId="17" fillId="0" borderId="54" xfId="0" applyFont="1" applyFill="1" applyBorder="1" applyAlignment="1" applyProtection="1">
      <alignment horizontal="center"/>
      <protection hidden="1"/>
    </xf>
    <xf numFmtId="0" fontId="17" fillId="0" borderId="50" xfId="0" applyFont="1" applyFill="1" applyBorder="1" applyAlignment="1" applyProtection="1">
      <alignment horizontal="center"/>
      <protection hidden="1"/>
    </xf>
    <xf numFmtId="0" fontId="17" fillId="0" borderId="43" xfId="0" applyFont="1" applyFill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8" xfId="0" applyFont="1" applyFill="1" applyBorder="1" applyAlignment="1" applyProtection="1">
      <alignment horizontal="center"/>
      <protection hidden="1"/>
    </xf>
    <xf numFmtId="0" fontId="17" fillId="0" borderId="11" xfId="0" applyFont="1" applyFill="1" applyBorder="1" applyAlignment="1" applyProtection="1">
      <alignment horizontal="center"/>
      <protection hidden="1"/>
    </xf>
    <xf numFmtId="0" fontId="17" fillId="0" borderId="55" xfId="0" applyFont="1" applyFill="1" applyBorder="1" applyAlignment="1" applyProtection="1">
      <alignment horizontal="center"/>
      <protection hidden="1"/>
    </xf>
    <xf numFmtId="0" fontId="17" fillId="0" borderId="56" xfId="0" applyFont="1" applyFill="1" applyBorder="1" applyAlignment="1" applyProtection="1">
      <alignment horizontal="center"/>
      <protection hidden="1"/>
    </xf>
    <xf numFmtId="0" fontId="17" fillId="0" borderId="57" xfId="0" applyFont="1" applyFill="1" applyBorder="1" applyAlignment="1" applyProtection="1">
      <alignment/>
      <protection hidden="1"/>
    </xf>
    <xf numFmtId="2" fontId="17" fillId="0" borderId="55" xfId="0" applyNumberFormat="1" applyFont="1" applyFill="1" applyBorder="1" applyAlignment="1" applyProtection="1">
      <alignment horizontal="center"/>
      <protection hidden="1"/>
    </xf>
    <xf numFmtId="2" fontId="17" fillId="0" borderId="56" xfId="0" applyNumberFormat="1" applyFont="1" applyFill="1" applyBorder="1" applyAlignment="1" applyProtection="1">
      <alignment horizontal="center"/>
      <protection hidden="1"/>
    </xf>
    <xf numFmtId="2" fontId="17" fillId="0" borderId="58" xfId="0" applyNumberFormat="1" applyFont="1" applyFill="1" applyBorder="1" applyAlignment="1" applyProtection="1">
      <alignment horizontal="center"/>
      <protection hidden="1"/>
    </xf>
    <xf numFmtId="0" fontId="17" fillId="0" borderId="55" xfId="0" applyNumberFormat="1" applyFont="1" applyFill="1" applyBorder="1" applyAlignment="1" applyProtection="1">
      <alignment horizontal="center"/>
      <protection hidden="1"/>
    </xf>
    <xf numFmtId="0" fontId="17" fillId="0" borderId="56" xfId="0" applyNumberFormat="1" applyFont="1" applyFill="1" applyBorder="1" applyAlignment="1" applyProtection="1">
      <alignment horizontal="center"/>
      <protection hidden="1"/>
    </xf>
    <xf numFmtId="0" fontId="17" fillId="0" borderId="58" xfId="0" applyNumberFormat="1" applyFont="1" applyFill="1" applyBorder="1" applyAlignment="1" applyProtection="1">
      <alignment horizontal="center"/>
      <protection hidden="1"/>
    </xf>
    <xf numFmtId="0" fontId="17" fillId="0" borderId="58" xfId="0" applyFont="1" applyFill="1" applyBorder="1" applyAlignment="1" applyProtection="1">
      <alignment horizontal="center"/>
      <protection hidden="1"/>
    </xf>
    <xf numFmtId="0" fontId="40" fillId="0" borderId="55" xfId="0" applyFont="1" applyFill="1" applyBorder="1" applyAlignment="1" applyProtection="1">
      <alignment horizontal="center"/>
      <protection hidden="1"/>
    </xf>
    <xf numFmtId="0" fontId="40" fillId="0" borderId="56" xfId="0" applyFont="1" applyFill="1" applyBorder="1" applyAlignment="1" applyProtection="1">
      <alignment horizontal="center"/>
      <protection hidden="1"/>
    </xf>
    <xf numFmtId="0" fontId="40" fillId="0" borderId="58" xfId="0" applyFont="1" applyFill="1" applyBorder="1" applyAlignment="1" applyProtection="1">
      <alignment horizontal="center"/>
      <protection hidden="1"/>
    </xf>
    <xf numFmtId="0" fontId="17" fillId="0" borderId="59" xfId="0" applyFont="1" applyFill="1" applyBorder="1" applyAlignment="1" applyProtection="1">
      <alignment horizontal="center"/>
      <protection hidden="1"/>
    </xf>
    <xf numFmtId="0" fontId="17" fillId="0" borderId="57" xfId="0" applyFont="1" applyFill="1" applyBorder="1" applyAlignment="1" applyProtection="1">
      <alignment horizontal="center"/>
      <protection hidden="1"/>
    </xf>
    <xf numFmtId="0" fontId="17" fillId="0" borderId="36" xfId="0" applyFont="1" applyFill="1" applyBorder="1" applyAlignment="1" applyProtection="1">
      <alignment horizontal="center"/>
      <protection hidden="1"/>
    </xf>
    <xf numFmtId="0" fontId="17" fillId="0" borderId="44" xfId="0" applyFont="1" applyFill="1" applyBorder="1" applyAlignment="1" applyProtection="1">
      <alignment/>
      <protection hidden="1"/>
    </xf>
    <xf numFmtId="2" fontId="17" fillId="0" borderId="36" xfId="0" applyNumberFormat="1" applyFont="1" applyFill="1" applyBorder="1" applyAlignment="1" applyProtection="1">
      <alignment horizontal="center"/>
      <protection hidden="1"/>
    </xf>
    <xf numFmtId="2" fontId="17" fillId="0" borderId="43" xfId="0" applyNumberFormat="1" applyFont="1" applyFill="1" applyBorder="1" applyAlignment="1" applyProtection="1">
      <alignment horizontal="center"/>
      <protection hidden="1"/>
    </xf>
    <xf numFmtId="2" fontId="17" fillId="0" borderId="37" xfId="0" applyNumberFormat="1" applyFont="1" applyFill="1" applyBorder="1" applyAlignment="1" applyProtection="1">
      <alignment horizontal="center"/>
      <protection hidden="1"/>
    </xf>
    <xf numFmtId="0" fontId="17" fillId="0" borderId="36" xfId="0" applyNumberFormat="1" applyFont="1" applyFill="1" applyBorder="1" applyAlignment="1" applyProtection="1">
      <alignment horizontal="center"/>
      <protection hidden="1"/>
    </xf>
    <xf numFmtId="0" fontId="17" fillId="0" borderId="43" xfId="0" applyNumberFormat="1" applyFont="1" applyFill="1" applyBorder="1" applyAlignment="1" applyProtection="1">
      <alignment horizontal="center"/>
      <protection hidden="1"/>
    </xf>
    <xf numFmtId="0" fontId="17" fillId="0" borderId="37" xfId="0" applyNumberFormat="1" applyFont="1" applyFill="1" applyBorder="1" applyAlignment="1" applyProtection="1">
      <alignment horizontal="center"/>
      <protection hidden="1"/>
    </xf>
    <xf numFmtId="0" fontId="17" fillId="0" borderId="37" xfId="0" applyFont="1" applyFill="1" applyBorder="1" applyAlignment="1" applyProtection="1">
      <alignment horizontal="center"/>
      <protection hidden="1"/>
    </xf>
    <xf numFmtId="0" fontId="40" fillId="0" borderId="36" xfId="0" applyFont="1" applyFill="1" applyBorder="1" applyAlignment="1" applyProtection="1">
      <alignment horizontal="center"/>
      <protection hidden="1"/>
    </xf>
    <xf numFmtId="0" fontId="40" fillId="0" borderId="43" xfId="0" applyFont="1" applyFill="1" applyBorder="1" applyAlignment="1" applyProtection="1">
      <alignment horizontal="center"/>
      <protection hidden="1"/>
    </xf>
    <xf numFmtId="0" fontId="40" fillId="0" borderId="37" xfId="0" applyFont="1" applyFill="1" applyBorder="1" applyAlignment="1" applyProtection="1">
      <alignment horizontal="center"/>
      <protection hidden="1"/>
    </xf>
    <xf numFmtId="0" fontId="17" fillId="0" borderId="49" xfId="0" applyFont="1" applyFill="1" applyBorder="1" applyAlignment="1" applyProtection="1">
      <alignment horizontal="center"/>
      <protection hidden="1"/>
    </xf>
    <xf numFmtId="0" fontId="17" fillId="0" borderId="44" xfId="0" applyFont="1" applyFill="1" applyBorder="1" applyAlignment="1" applyProtection="1">
      <alignment horizontal="center"/>
      <protection hidden="1"/>
    </xf>
    <xf numFmtId="0" fontId="17" fillId="0" borderId="60" xfId="0" applyFont="1" applyFill="1" applyBorder="1" applyAlignment="1" applyProtection="1">
      <alignment horizontal="center"/>
      <protection hidden="1"/>
    </xf>
    <xf numFmtId="0" fontId="17" fillId="0" borderId="61" xfId="0" applyFont="1" applyFill="1" applyBorder="1" applyAlignment="1" applyProtection="1">
      <alignment horizontal="center"/>
      <protection hidden="1"/>
    </xf>
    <xf numFmtId="0" fontId="17" fillId="0" borderId="62" xfId="0" applyFont="1" applyFill="1" applyBorder="1" applyAlignment="1" applyProtection="1">
      <alignment/>
      <protection hidden="1"/>
    </xf>
    <xf numFmtId="2" fontId="17" fillId="0" borderId="60" xfId="0" applyNumberFormat="1" applyFont="1" applyFill="1" applyBorder="1" applyAlignment="1" applyProtection="1">
      <alignment horizontal="center"/>
      <protection hidden="1"/>
    </xf>
    <xf numFmtId="2" fontId="17" fillId="0" borderId="61" xfId="0" applyNumberFormat="1" applyFont="1" applyFill="1" applyBorder="1" applyAlignment="1" applyProtection="1">
      <alignment horizontal="center"/>
      <protection hidden="1"/>
    </xf>
    <xf numFmtId="2" fontId="17" fillId="0" borderId="63" xfId="0" applyNumberFormat="1" applyFont="1" applyFill="1" applyBorder="1" applyAlignment="1" applyProtection="1">
      <alignment horizontal="center"/>
      <protection hidden="1"/>
    </xf>
    <xf numFmtId="0" fontId="17" fillId="0" borderId="63" xfId="0" applyFont="1" applyFill="1" applyBorder="1" applyAlignment="1" applyProtection="1">
      <alignment horizontal="center"/>
      <protection hidden="1"/>
    </xf>
    <xf numFmtId="0" fontId="40" fillId="0" borderId="60" xfId="0" applyFont="1" applyFill="1" applyBorder="1" applyAlignment="1" applyProtection="1">
      <alignment horizontal="center"/>
      <protection hidden="1"/>
    </xf>
    <xf numFmtId="0" fontId="40" fillId="0" borderId="61" xfId="0" applyFont="1" applyFill="1" applyBorder="1" applyAlignment="1" applyProtection="1">
      <alignment horizontal="center"/>
      <protection hidden="1"/>
    </xf>
    <xf numFmtId="0" fontId="40" fillId="0" borderId="63" xfId="0" applyFont="1" applyFill="1" applyBorder="1" applyAlignment="1" applyProtection="1">
      <alignment horizontal="center"/>
      <protection hidden="1"/>
    </xf>
    <xf numFmtId="0" fontId="17" fillId="0" borderId="64" xfId="0" applyFont="1" applyFill="1" applyBorder="1" applyAlignment="1" applyProtection="1">
      <alignment horizontal="center"/>
      <protection hidden="1"/>
    </xf>
    <xf numFmtId="0" fontId="17" fillId="0" borderId="62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27" fillId="0" borderId="66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left"/>
      <protection hidden="1"/>
    </xf>
    <xf numFmtId="0" fontId="6" fillId="0" borderId="67" xfId="0" applyFont="1" applyFill="1" applyBorder="1" applyAlignment="1" applyProtection="1">
      <alignment horizontal="center"/>
      <protection hidden="1"/>
    </xf>
    <xf numFmtId="0" fontId="6" fillId="0" borderId="68" xfId="0" applyFont="1" applyFill="1" applyBorder="1" applyAlignment="1" applyProtection="1">
      <alignment horizontal="center"/>
      <protection hidden="1"/>
    </xf>
    <xf numFmtId="0" fontId="27" fillId="0" borderId="69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2" fontId="7" fillId="0" borderId="7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 textRotation="255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0" fontId="8" fillId="0" borderId="56" xfId="0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center" vertical="center"/>
      <protection hidden="1"/>
    </xf>
    <xf numFmtId="2" fontId="8" fillId="0" borderId="43" xfId="0" applyNumberFormat="1" applyFont="1" applyFill="1" applyBorder="1" applyAlignment="1" applyProtection="1">
      <alignment horizontal="center" vertical="center"/>
      <protection hidden="1"/>
    </xf>
    <xf numFmtId="0" fontId="8" fillId="0" borderId="43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textRotation="255" shrinkToFit="1"/>
      <protection hidden="1"/>
    </xf>
    <xf numFmtId="0" fontId="7" fillId="0" borderId="0" xfId="0" applyFont="1" applyFill="1" applyBorder="1" applyAlignment="1" applyProtection="1">
      <alignment horizontal="center" textRotation="255" shrinkToFit="1"/>
      <protection hidden="1"/>
    </xf>
    <xf numFmtId="0" fontId="8" fillId="0" borderId="43" xfId="0" applyFont="1" applyFill="1" applyBorder="1" applyAlignment="1" applyProtection="1">
      <alignment horizontal="center"/>
      <protection hidden="1"/>
    </xf>
    <xf numFmtId="0" fontId="15" fillId="0" borderId="50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 quotePrefix="1">
      <alignment horizontal="center" vertical="center"/>
      <protection hidden="1"/>
    </xf>
    <xf numFmtId="0" fontId="0" fillId="0" borderId="45" xfId="0" applyFont="1" applyFill="1" applyBorder="1" applyAlignment="1" applyProtection="1" quotePrefix="1">
      <alignment horizontal="center" vertical="center"/>
      <protection hidden="1"/>
    </xf>
    <xf numFmtId="2" fontId="7" fillId="0" borderId="46" xfId="0" applyNumberFormat="1" applyFont="1" applyFill="1" applyBorder="1" applyAlignment="1" applyProtection="1">
      <alignment horizontal="center" vertical="center"/>
      <protection hidden="1"/>
    </xf>
    <xf numFmtId="2" fontId="7" fillId="0" borderId="13" xfId="0" applyNumberFormat="1" applyFont="1" applyFill="1" applyBorder="1" applyAlignment="1" applyProtection="1">
      <alignment horizontal="center" vertical="center"/>
      <protection hidden="1"/>
    </xf>
    <xf numFmtId="2" fontId="7" fillId="0" borderId="47" xfId="0" applyNumberFormat="1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 quotePrefix="1">
      <alignment horizontal="center" vertical="center"/>
      <protection hidden="1"/>
    </xf>
    <xf numFmtId="0" fontId="34" fillId="0" borderId="47" xfId="0" applyFont="1" applyFill="1" applyBorder="1" applyAlignment="1" applyProtection="1" quotePrefix="1">
      <alignment horizontal="center" vertical="center"/>
      <protection hidden="1"/>
    </xf>
    <xf numFmtId="0" fontId="32" fillId="0" borderId="46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2" fontId="7" fillId="0" borderId="46" xfId="0" applyNumberFormat="1" applyFont="1" applyFill="1" applyBorder="1" applyAlignment="1" applyProtection="1" quotePrefix="1">
      <alignment horizontal="center" vertical="center"/>
      <protection hidden="1"/>
    </xf>
    <xf numFmtId="0" fontId="7" fillId="0" borderId="48" xfId="0" applyFont="1" applyFill="1" applyBorder="1" applyAlignment="1" applyProtection="1" quotePrefix="1">
      <alignment horizontal="center" vertical="center"/>
      <protection hidden="1"/>
    </xf>
    <xf numFmtId="0" fontId="32" fillId="0" borderId="13" xfId="0" applyFont="1" applyFill="1" applyBorder="1" applyAlignment="1" applyProtection="1" quotePrefix="1">
      <alignment horizontal="center" vertical="center"/>
      <protection hidden="1"/>
    </xf>
    <xf numFmtId="0" fontId="32" fillId="0" borderId="47" xfId="0" applyFont="1" applyFill="1" applyBorder="1" applyAlignment="1" applyProtection="1" quotePrefix="1">
      <alignment horizontal="center" vertical="center"/>
      <protection hidden="1"/>
    </xf>
    <xf numFmtId="0" fontId="33" fillId="0" borderId="4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5" borderId="13" xfId="0" applyFont="1" applyFill="1" applyBorder="1" applyAlignment="1" applyProtection="1" quotePrefix="1">
      <alignment horizontal="center" vertical="center"/>
      <protection hidden="1"/>
    </xf>
    <xf numFmtId="0" fontId="7" fillId="39" borderId="13" xfId="0" applyFont="1" applyFill="1" applyBorder="1" applyAlignment="1" applyProtection="1" quotePrefix="1">
      <alignment horizontal="center" vertical="center"/>
      <protection hidden="1"/>
    </xf>
    <xf numFmtId="0" fontId="8" fillId="34" borderId="43" xfId="0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8" fillId="34" borderId="43" xfId="0" applyFont="1" applyFill="1" applyBorder="1" applyAlignment="1" applyProtection="1">
      <alignment horizontal="center" vertical="center"/>
      <protection hidden="1"/>
    </xf>
    <xf numFmtId="0" fontId="8" fillId="40" borderId="43" xfId="0" applyFont="1" applyFill="1" applyBorder="1" applyAlignment="1" applyProtection="1">
      <alignment horizontal="center" vertical="center"/>
      <protection hidden="1"/>
    </xf>
    <xf numFmtId="0" fontId="8" fillId="40" borderId="43" xfId="0" applyFont="1" applyFill="1" applyBorder="1" applyAlignment="1" applyProtection="1">
      <alignment horizontal="center"/>
      <protection hidden="1"/>
    </xf>
    <xf numFmtId="0" fontId="15" fillId="40" borderId="50" xfId="0" applyFont="1" applyFill="1" applyBorder="1" applyAlignment="1" applyProtection="1">
      <alignment horizontal="center" vertical="center"/>
      <protection hidden="1"/>
    </xf>
    <xf numFmtId="0" fontId="6" fillId="40" borderId="13" xfId="0" applyFont="1" applyFill="1" applyBorder="1" applyAlignment="1" applyProtection="1">
      <alignment horizontal="center" vertical="center"/>
      <protection hidden="1"/>
    </xf>
    <xf numFmtId="0" fontId="8" fillId="40" borderId="13" xfId="0" applyFont="1" applyFill="1" applyBorder="1" applyAlignment="1" applyProtection="1">
      <alignment horizontal="center" vertical="center"/>
      <protection hidden="1"/>
    </xf>
    <xf numFmtId="0" fontId="6" fillId="40" borderId="45" xfId="0" applyFont="1" applyFill="1" applyBorder="1" applyAlignment="1" applyProtection="1">
      <alignment horizontal="center" vertical="center"/>
      <protection hidden="1"/>
    </xf>
    <xf numFmtId="0" fontId="6" fillId="40" borderId="46" xfId="0" applyFont="1" applyFill="1" applyBorder="1" applyAlignment="1" applyProtection="1">
      <alignment horizontal="center" vertical="center"/>
      <protection hidden="1"/>
    </xf>
    <xf numFmtId="0" fontId="6" fillId="40" borderId="47" xfId="0" applyFont="1" applyFill="1" applyBorder="1" applyAlignment="1" applyProtection="1">
      <alignment horizontal="center" vertical="center"/>
      <protection hidden="1"/>
    </xf>
    <xf numFmtId="0" fontId="6" fillId="40" borderId="46" xfId="0" applyNumberFormat="1" applyFont="1" applyFill="1" applyBorder="1" applyAlignment="1" applyProtection="1">
      <alignment horizontal="center" vertical="center"/>
      <protection hidden="1"/>
    </xf>
    <xf numFmtId="0" fontId="6" fillId="40" borderId="48" xfId="0" applyFont="1" applyFill="1" applyBorder="1" applyAlignment="1" applyProtection="1">
      <alignment horizontal="center" vertical="center"/>
      <protection hidden="1"/>
    </xf>
    <xf numFmtId="0" fontId="10" fillId="0" borderId="43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horizontal="center" wrapText="1"/>
      <protection hidden="1"/>
    </xf>
    <xf numFmtId="0" fontId="43" fillId="0" borderId="0" xfId="0" applyFont="1" applyFill="1" applyBorder="1" applyAlignment="1" applyProtection="1">
      <alignment horizontal="center" vertical="top" wrapText="1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24" fillId="0" borderId="71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14" fillId="0" borderId="41" xfId="0" applyFont="1" applyFill="1" applyBorder="1" applyAlignment="1" applyProtection="1">
      <alignment horizontal="right" vertical="center"/>
      <protection hidden="1"/>
    </xf>
    <xf numFmtId="0" fontId="14" fillId="0" borderId="41" xfId="0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left" vertical="center"/>
      <protection hidden="1"/>
    </xf>
    <xf numFmtId="0" fontId="0" fillId="0" borderId="4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72" xfId="0" applyFill="1" applyBorder="1" applyAlignment="1" applyProtection="1">
      <alignment horizontal="center"/>
      <protection hidden="1"/>
    </xf>
    <xf numFmtId="0" fontId="0" fillId="0" borderId="73" xfId="0" applyFill="1" applyBorder="1" applyAlignment="1" applyProtection="1">
      <alignment horizontal="center"/>
      <protection hidden="1"/>
    </xf>
    <xf numFmtId="0" fontId="0" fillId="0" borderId="48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7" fillId="0" borderId="74" xfId="0" applyFont="1" applyFill="1" applyBorder="1" applyAlignment="1" applyProtection="1">
      <alignment horizont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7" fillId="0" borderId="75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 quotePrefix="1">
      <alignment horizont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7" fillId="35" borderId="60" xfId="0" applyFont="1" applyFill="1" applyBorder="1" applyAlignment="1" applyProtection="1">
      <alignment horizontal="center"/>
      <protection hidden="1"/>
    </xf>
    <xf numFmtId="0" fontId="17" fillId="35" borderId="61" xfId="0" applyFont="1" applyFill="1" applyBorder="1" applyAlignment="1" applyProtection="1">
      <alignment horizontal="center"/>
      <protection hidden="1"/>
    </xf>
    <xf numFmtId="0" fontId="17" fillId="35" borderId="62" xfId="0" applyFont="1" applyFill="1" applyBorder="1" applyAlignment="1" applyProtection="1">
      <alignment/>
      <protection hidden="1"/>
    </xf>
    <xf numFmtId="2" fontId="17" fillId="35" borderId="60" xfId="0" applyNumberFormat="1" applyFont="1" applyFill="1" applyBorder="1" applyAlignment="1" applyProtection="1">
      <alignment horizontal="center"/>
      <protection hidden="1"/>
    </xf>
    <xf numFmtId="2" fontId="17" fillId="35" borderId="61" xfId="0" applyNumberFormat="1" applyFont="1" applyFill="1" applyBorder="1" applyAlignment="1" applyProtection="1">
      <alignment horizontal="center"/>
      <protection hidden="1"/>
    </xf>
    <xf numFmtId="2" fontId="17" fillId="35" borderId="63" xfId="0" applyNumberFormat="1" applyFont="1" applyFill="1" applyBorder="1" applyAlignment="1" applyProtection="1">
      <alignment horizontal="center"/>
      <protection hidden="1"/>
    </xf>
    <xf numFmtId="0" fontId="17" fillId="35" borderId="63" xfId="0" applyFont="1" applyFill="1" applyBorder="1" applyAlignment="1" applyProtection="1">
      <alignment horizontal="center"/>
      <protection hidden="1"/>
    </xf>
    <xf numFmtId="0" fontId="40" fillId="35" borderId="60" xfId="0" applyFont="1" applyFill="1" applyBorder="1" applyAlignment="1" applyProtection="1">
      <alignment horizontal="center"/>
      <protection hidden="1"/>
    </xf>
    <xf numFmtId="0" fontId="40" fillId="35" borderId="61" xfId="0" applyFont="1" applyFill="1" applyBorder="1" applyAlignment="1" applyProtection="1">
      <alignment horizontal="center"/>
      <protection hidden="1"/>
    </xf>
    <xf numFmtId="0" fontId="40" fillId="35" borderId="63" xfId="0" applyFont="1" applyFill="1" applyBorder="1" applyAlignment="1" applyProtection="1">
      <alignment horizontal="center"/>
      <protection hidden="1"/>
    </xf>
    <xf numFmtId="0" fontId="17" fillId="35" borderId="64" xfId="0" applyFont="1" applyFill="1" applyBorder="1" applyAlignment="1" applyProtection="1">
      <alignment horizont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/>
    </xf>
    <xf numFmtId="2" fontId="0" fillId="0" borderId="33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Fill="1" applyBorder="1" applyAlignment="1" applyProtection="1">
      <alignment horizontal="left" vertical="center"/>
      <protection hidden="1"/>
    </xf>
    <xf numFmtId="2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35" borderId="60" xfId="0" applyFont="1" applyFill="1" applyBorder="1" applyAlignment="1" applyProtection="1">
      <alignment horizontal="center" vertical="center"/>
      <protection hidden="1"/>
    </xf>
    <xf numFmtId="2" fontId="8" fillId="35" borderId="61" xfId="0" applyNumberFormat="1" applyFont="1" applyFill="1" applyBorder="1" applyAlignment="1" applyProtection="1">
      <alignment horizontal="center" vertical="center"/>
      <protection hidden="1"/>
    </xf>
    <xf numFmtId="0" fontId="8" fillId="35" borderId="61" xfId="0" applyFont="1" applyFill="1" applyBorder="1" applyAlignment="1" applyProtection="1">
      <alignment horizontal="center" vertical="center"/>
      <protection hidden="1"/>
    </xf>
    <xf numFmtId="0" fontId="8" fillId="35" borderId="63" xfId="0" applyFont="1" applyFill="1" applyBorder="1" applyAlignment="1" applyProtection="1">
      <alignment horizontal="center" vertical="center"/>
      <protection hidden="1"/>
    </xf>
    <xf numFmtId="0" fontId="8" fillId="35" borderId="43" xfId="0" applyFont="1" applyFill="1" applyBorder="1" applyAlignment="1" applyProtection="1">
      <alignment horizontal="center"/>
      <protection hidden="1"/>
    </xf>
    <xf numFmtId="0" fontId="15" fillId="35" borderId="50" xfId="0" applyFont="1" applyFill="1" applyBorder="1" applyAlignment="1" applyProtection="1">
      <alignment horizontal="center" vertical="center"/>
      <protection hidden="1"/>
    </xf>
    <xf numFmtId="0" fontId="7" fillId="35" borderId="13" xfId="0" applyFont="1" applyFill="1" applyBorder="1" applyAlignment="1" applyProtection="1">
      <alignment horizontal="center" vertical="center"/>
      <protection hidden="1"/>
    </xf>
    <xf numFmtId="0" fontId="0" fillId="35" borderId="45" xfId="0" applyFont="1" applyFill="1" applyBorder="1" applyAlignment="1" applyProtection="1" quotePrefix="1">
      <alignment horizontal="center" vertical="center"/>
      <protection hidden="1"/>
    </xf>
    <xf numFmtId="2" fontId="7" fillId="35" borderId="46" xfId="0" applyNumberFormat="1" applyFont="1" applyFill="1" applyBorder="1" applyAlignment="1" applyProtection="1">
      <alignment horizontal="center" vertical="center"/>
      <protection hidden="1"/>
    </xf>
    <xf numFmtId="2" fontId="7" fillId="35" borderId="13" xfId="0" applyNumberFormat="1" applyFont="1" applyFill="1" applyBorder="1" applyAlignment="1" applyProtection="1">
      <alignment horizontal="center" vertical="center"/>
      <protection hidden="1"/>
    </xf>
    <xf numFmtId="2" fontId="7" fillId="35" borderId="47" xfId="0" applyNumberFormat="1" applyFont="1" applyFill="1" applyBorder="1" applyAlignment="1" applyProtection="1">
      <alignment horizontal="center" vertical="center"/>
      <protection hidden="1"/>
    </xf>
    <xf numFmtId="0" fontId="34" fillId="35" borderId="13" xfId="0" applyFont="1" applyFill="1" applyBorder="1" applyAlignment="1" applyProtection="1" quotePrefix="1">
      <alignment horizontal="center" vertical="center"/>
      <protection hidden="1"/>
    </xf>
    <xf numFmtId="0" fontId="34" fillId="35" borderId="47" xfId="0" applyFont="1" applyFill="1" applyBorder="1" applyAlignment="1" applyProtection="1" quotePrefix="1">
      <alignment horizontal="center" vertical="center"/>
      <protection hidden="1"/>
    </xf>
    <xf numFmtId="0" fontId="32" fillId="35" borderId="46" xfId="0" applyFont="1" applyFill="1" applyBorder="1" applyAlignment="1" applyProtection="1">
      <alignment horizontal="center" vertical="center"/>
      <protection hidden="1"/>
    </xf>
    <xf numFmtId="0" fontId="32" fillId="35" borderId="13" xfId="0" applyFont="1" applyFill="1" applyBorder="1" applyAlignment="1" applyProtection="1" quotePrefix="1">
      <alignment horizontal="center" vertical="center"/>
      <protection hidden="1"/>
    </xf>
    <xf numFmtId="0" fontId="32" fillId="35" borderId="47" xfId="0" applyFont="1" applyFill="1" applyBorder="1" applyAlignment="1" applyProtection="1" quotePrefix="1">
      <alignment horizontal="center" vertical="center"/>
      <protection hidden="1"/>
    </xf>
    <xf numFmtId="0" fontId="33" fillId="35" borderId="47" xfId="0" applyFont="1" applyFill="1" applyBorder="1" applyAlignment="1" applyProtection="1">
      <alignment horizontal="center" vertical="center"/>
      <protection hidden="1"/>
    </xf>
    <xf numFmtId="2" fontId="7" fillId="35" borderId="46" xfId="0" applyNumberFormat="1" applyFont="1" applyFill="1" applyBorder="1" applyAlignment="1" applyProtection="1" quotePrefix="1">
      <alignment horizontal="center" vertical="center"/>
      <protection hidden="1"/>
    </xf>
    <xf numFmtId="0" fontId="7" fillId="35" borderId="48" xfId="0" applyFont="1" applyFill="1" applyBorder="1" applyAlignment="1" applyProtection="1" quotePrefix="1">
      <alignment horizontal="center" vertical="center"/>
      <protection hidden="1"/>
    </xf>
    <xf numFmtId="0" fontId="7" fillId="35" borderId="47" xfId="0" applyFont="1" applyFill="1" applyBorder="1" applyAlignment="1" applyProtection="1">
      <alignment horizontal="center" vertical="center"/>
      <protection hidden="1"/>
    </xf>
    <xf numFmtId="0" fontId="8" fillId="35" borderId="43" xfId="0" applyFont="1" applyFill="1" applyBorder="1" applyAlignment="1" applyProtection="1">
      <alignment horizontal="center" vertical="center"/>
      <protection hidden="1"/>
    </xf>
    <xf numFmtId="0" fontId="7" fillId="41" borderId="43" xfId="0" applyFont="1" applyFill="1" applyBorder="1" applyAlignment="1" applyProtection="1" quotePrefix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76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right" vertical="top"/>
      <protection hidden="1"/>
    </xf>
    <xf numFmtId="0" fontId="7" fillId="0" borderId="67" xfId="0" applyFont="1" applyFill="1" applyBorder="1" applyAlignment="1" applyProtection="1">
      <alignment horizontal="center"/>
      <protection hidden="1"/>
    </xf>
    <xf numFmtId="0" fontId="7" fillId="0" borderId="68" xfId="0" applyFont="1" applyFill="1" applyBorder="1" applyAlignment="1" applyProtection="1">
      <alignment horizontal="center"/>
      <protection hidden="1"/>
    </xf>
    <xf numFmtId="0" fontId="7" fillId="0" borderId="69" xfId="0" applyFont="1" applyFill="1" applyBorder="1" applyAlignment="1" applyProtection="1">
      <alignment horizontal="center"/>
      <protection hidden="1"/>
    </xf>
    <xf numFmtId="0" fontId="7" fillId="0" borderId="77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/>
      <protection hidden="1"/>
    </xf>
    <xf numFmtId="0" fontId="6" fillId="35" borderId="79" xfId="0" applyFont="1" applyFill="1" applyBorder="1" applyAlignment="1" applyProtection="1">
      <alignment horizontal="center"/>
      <protection hidden="1"/>
    </xf>
    <xf numFmtId="0" fontId="0" fillId="0" borderId="50" xfId="0" applyFont="1" applyFill="1" applyBorder="1" applyAlignment="1" applyProtection="1">
      <alignment horizontal="center" vertical="center"/>
      <protection hidden="1"/>
    </xf>
    <xf numFmtId="0" fontId="0" fillId="42" borderId="16" xfId="0" applyFont="1" applyFill="1" applyBorder="1" applyAlignment="1" applyProtection="1">
      <alignment horizontal="center"/>
      <protection hidden="1"/>
    </xf>
    <xf numFmtId="0" fontId="0" fillId="34" borderId="16" xfId="0" applyFont="1" applyFill="1" applyBorder="1" applyAlignment="1" applyProtection="1">
      <alignment horizontal="center"/>
      <protection hidden="1"/>
    </xf>
    <xf numFmtId="0" fontId="0" fillId="42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center"/>
      <protection hidden="1"/>
    </xf>
    <xf numFmtId="0" fontId="39" fillId="0" borderId="66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indent="1"/>
      <protection hidden="1"/>
    </xf>
    <xf numFmtId="0" fontId="39" fillId="0" borderId="6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69" xfId="0" applyFont="1" applyFill="1" applyBorder="1" applyAlignment="1" applyProtection="1">
      <alignment horizontal="center"/>
      <protection hidden="1"/>
    </xf>
    <xf numFmtId="0" fontId="6" fillId="0" borderId="77" xfId="0" applyFont="1" applyFill="1" applyBorder="1" applyAlignment="1" applyProtection="1">
      <alignment horizontal="center"/>
      <protection hidden="1"/>
    </xf>
    <xf numFmtId="0" fontId="27" fillId="34" borderId="47" xfId="0" applyFont="1" applyFill="1" applyBorder="1" applyAlignment="1" applyProtection="1">
      <alignment horizontal="center" vertical="center"/>
      <protection hidden="1"/>
    </xf>
    <xf numFmtId="0" fontId="46" fillId="0" borderId="80" xfId="0" applyFont="1" applyFill="1" applyBorder="1" applyAlignment="1" applyProtection="1">
      <alignment horizontal="center"/>
      <protection hidden="1"/>
    </xf>
    <xf numFmtId="0" fontId="46" fillId="0" borderId="70" xfId="0" applyFont="1" applyFill="1" applyBorder="1" applyAlignment="1" applyProtection="1">
      <alignment horizontal="center"/>
      <protection hidden="1"/>
    </xf>
    <xf numFmtId="0" fontId="46" fillId="0" borderId="66" xfId="0" applyFont="1" applyFill="1" applyBorder="1" applyAlignment="1" applyProtection="1">
      <alignment horizontal="center"/>
      <protection hidden="1"/>
    </xf>
    <xf numFmtId="0" fontId="46" fillId="0" borderId="81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70" xfId="0" applyFont="1" applyFill="1" applyBorder="1" applyAlignment="1" applyProtection="1">
      <alignment horizontal="center"/>
      <protection hidden="1"/>
    </xf>
    <xf numFmtId="0" fontId="47" fillId="0" borderId="66" xfId="0" applyFont="1" applyFill="1" applyBorder="1" applyAlignment="1" applyProtection="1">
      <alignment horizontal="center"/>
      <protection hidden="1"/>
    </xf>
    <xf numFmtId="0" fontId="47" fillId="0" borderId="69" xfId="0" applyFont="1" applyFill="1" applyBorder="1" applyAlignment="1" applyProtection="1">
      <alignment horizontal="center"/>
      <protection hidden="1"/>
    </xf>
    <xf numFmtId="0" fontId="7" fillId="0" borderId="82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83" xfId="0" applyFont="1" applyFill="1" applyBorder="1" applyAlignment="1" applyProtection="1">
      <alignment horizontal="center"/>
      <protection hidden="1"/>
    </xf>
    <xf numFmtId="0" fontId="0" fillId="35" borderId="73" xfId="0" applyFont="1" applyFill="1" applyBorder="1" applyAlignment="1" applyProtection="1">
      <alignment horizont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14" fillId="0" borderId="16" xfId="0" applyFont="1" applyFill="1" applyBorder="1" applyAlignment="1" applyProtection="1">
      <alignment horizontal="left"/>
      <protection hidden="1"/>
    </xf>
    <xf numFmtId="2" fontId="9" fillId="33" borderId="16" xfId="0" applyNumberFormat="1" applyFont="1" applyFill="1" applyBorder="1" applyAlignment="1" applyProtection="1">
      <alignment horizontal="right"/>
      <protection hidden="1"/>
    </xf>
    <xf numFmtId="0" fontId="9" fillId="34" borderId="16" xfId="0" applyFont="1" applyFill="1" applyBorder="1" applyAlignment="1" applyProtection="1">
      <alignment horizontal="right"/>
      <protection hidden="1"/>
    </xf>
    <xf numFmtId="0" fontId="48" fillId="33" borderId="49" xfId="0" applyNumberFormat="1" applyFont="1" applyFill="1" applyBorder="1" applyAlignment="1" applyProtection="1">
      <alignment horizontal="right"/>
      <protection hidden="1"/>
    </xf>
    <xf numFmtId="0" fontId="48" fillId="34" borderId="49" xfId="0" applyNumberFormat="1" applyFont="1" applyFill="1" applyBorder="1" applyAlignment="1" applyProtection="1">
      <alignment horizontal="right"/>
      <protection hidden="1"/>
    </xf>
    <xf numFmtId="0" fontId="49" fillId="33" borderId="49" xfId="0" applyNumberFormat="1" applyFont="1" applyFill="1" applyBorder="1" applyAlignment="1" applyProtection="1">
      <alignment horizontal="right"/>
      <protection hidden="1"/>
    </xf>
    <xf numFmtId="0" fontId="49" fillId="34" borderId="49" xfId="0" applyNumberFormat="1" applyFont="1" applyFill="1" applyBorder="1" applyAlignment="1" applyProtection="1">
      <alignment horizontal="right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219" fontId="0" fillId="0" borderId="0" xfId="0" applyNumberFormat="1" applyFill="1" applyAlignment="1" applyProtection="1">
      <alignment horizontal="left" vertical="center" indent="1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0" fontId="50" fillId="43" borderId="84" xfId="0" applyFont="1" applyFill="1" applyBorder="1" applyAlignment="1">
      <alignment horizontal="center"/>
    </xf>
    <xf numFmtId="0" fontId="50" fillId="0" borderId="85" xfId="0" applyFont="1" applyFill="1" applyBorder="1" applyAlignment="1">
      <alignment wrapText="1"/>
    </xf>
    <xf numFmtId="0" fontId="9" fillId="0" borderId="7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86" xfId="0" applyBorder="1" applyAlignment="1">
      <alignment wrapText="1"/>
    </xf>
    <xf numFmtId="14" fontId="0" fillId="0" borderId="86" xfId="0" applyNumberFormat="1" applyBorder="1" applyAlignment="1">
      <alignment wrapText="1"/>
    </xf>
    <xf numFmtId="0" fontId="0" fillId="0" borderId="86" xfId="0" applyFont="1" applyBorder="1" applyAlignment="1">
      <alignment wrapText="1"/>
    </xf>
    <xf numFmtId="221" fontId="0" fillId="0" borderId="0" xfId="0" applyNumberFormat="1" applyFill="1" applyAlignment="1" applyProtection="1">
      <alignment horizontal="left" vertical="center" indent="1"/>
      <protection hidden="1"/>
    </xf>
    <xf numFmtId="0" fontId="0" fillId="0" borderId="87" xfId="0" applyFill="1" applyBorder="1" applyAlignment="1">
      <alignment wrapText="1"/>
    </xf>
    <xf numFmtId="222" fontId="0" fillId="0" borderId="0" xfId="0" applyNumberFormat="1" applyAlignment="1">
      <alignment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33" borderId="88" xfId="0" applyNumberFormat="1" applyFill="1" applyBorder="1" applyAlignment="1" applyProtection="1">
      <alignment horizontal="center"/>
      <protection hidden="1"/>
    </xf>
    <xf numFmtId="2" fontId="0" fillId="33" borderId="89" xfId="0" applyNumberFormat="1" applyFill="1" applyBorder="1" applyAlignment="1" applyProtection="1">
      <alignment horizontal="center"/>
      <protection hidden="1"/>
    </xf>
    <xf numFmtId="2" fontId="0" fillId="33" borderId="9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left" indent="1"/>
      <protection locked="0"/>
    </xf>
    <xf numFmtId="0" fontId="0" fillId="0" borderId="91" xfId="0" applyFill="1" applyBorder="1" applyAlignment="1" applyProtection="1">
      <alignment horizontal="left" indent="1"/>
      <protection locked="0"/>
    </xf>
    <xf numFmtId="2" fontId="0" fillId="0" borderId="92" xfId="0" applyNumberForma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" fillId="0" borderId="91" xfId="0" applyFont="1" applyFill="1" applyBorder="1" applyAlignment="1" applyProtection="1">
      <alignment horizontal="left" vertical="center" indent="1"/>
      <protection locked="0"/>
    </xf>
    <xf numFmtId="0" fontId="0" fillId="0" borderId="93" xfId="0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6" fillId="33" borderId="94" xfId="0" applyFont="1" applyFill="1" applyBorder="1" applyAlignment="1" applyProtection="1">
      <alignment horizontal="center"/>
      <protection hidden="1"/>
    </xf>
    <xf numFmtId="0" fontId="16" fillId="33" borderId="95" xfId="0" applyFont="1" applyFill="1" applyBorder="1" applyAlignment="1" applyProtection="1">
      <alignment horizontal="center"/>
      <protection hidden="1"/>
    </xf>
    <xf numFmtId="0" fontId="16" fillId="0" borderId="96" xfId="0" applyFont="1" applyFill="1" applyBorder="1" applyAlignment="1" applyProtection="1">
      <alignment horizontal="center"/>
      <protection hidden="1"/>
    </xf>
    <xf numFmtId="0" fontId="16" fillId="0" borderId="97" xfId="0" applyFont="1" applyFill="1" applyBorder="1" applyAlignment="1" applyProtection="1">
      <alignment horizontal="center"/>
      <protection hidden="1"/>
    </xf>
    <xf numFmtId="0" fontId="16" fillId="0" borderId="98" xfId="0" applyFont="1" applyFill="1" applyBorder="1" applyAlignment="1" applyProtection="1">
      <alignment/>
      <protection hidden="1"/>
    </xf>
    <xf numFmtId="0" fontId="16" fillId="0" borderId="99" xfId="0" applyFont="1" applyFill="1" applyBorder="1" applyAlignment="1" applyProtection="1">
      <alignment horizontal="center"/>
      <protection hidden="1"/>
    </xf>
    <xf numFmtId="0" fontId="16" fillId="0" borderId="100" xfId="0" applyFont="1" applyFill="1" applyBorder="1" applyAlignment="1" applyProtection="1">
      <alignment horizontal="center"/>
      <protection hidden="1"/>
    </xf>
    <xf numFmtId="0" fontId="16" fillId="0" borderId="101" xfId="0" applyFont="1" applyFill="1" applyBorder="1" applyAlignment="1" applyProtection="1">
      <alignment/>
      <protection hidden="1"/>
    </xf>
    <xf numFmtId="0" fontId="16" fillId="0" borderId="98" xfId="0" applyFont="1" applyFill="1" applyBorder="1" applyAlignment="1" applyProtection="1">
      <alignment horizontal="center"/>
      <protection hidden="1"/>
    </xf>
    <xf numFmtId="0" fontId="16" fillId="0" borderId="101" xfId="0" applyFont="1" applyFill="1" applyBorder="1" applyAlignment="1" applyProtection="1">
      <alignment horizontal="center"/>
      <protection hidden="1"/>
    </xf>
    <xf numFmtId="0" fontId="16" fillId="0" borderId="97" xfId="0" applyFont="1" applyFill="1" applyBorder="1" applyAlignment="1" applyProtection="1">
      <alignment/>
      <protection hidden="1"/>
    </xf>
    <xf numFmtId="0" fontId="16" fillId="0" borderId="100" xfId="0" applyFont="1" applyFill="1" applyBorder="1" applyAlignment="1" applyProtection="1">
      <alignment/>
      <protection hidden="1"/>
    </xf>
    <xf numFmtId="0" fontId="0" fillId="0" borderId="91" xfId="0" applyFill="1" applyBorder="1" applyAlignment="1" applyProtection="1">
      <alignment horizontal="center"/>
      <protection locked="0"/>
    </xf>
    <xf numFmtId="0" fontId="0" fillId="0" borderId="93" xfId="0" applyFill="1" applyBorder="1" applyAlignment="1" applyProtection="1">
      <alignment horizontal="center"/>
      <protection locked="0"/>
    </xf>
    <xf numFmtId="0" fontId="17" fillId="33" borderId="102" xfId="0" applyFont="1" applyFill="1" applyBorder="1" applyAlignment="1" applyProtection="1">
      <alignment horizontal="center" vertical="center"/>
      <protection hidden="1"/>
    </xf>
    <xf numFmtId="0" fontId="17" fillId="33" borderId="103" xfId="0" applyFont="1" applyFill="1" applyBorder="1" applyAlignment="1" applyProtection="1">
      <alignment horizontal="center" vertical="center"/>
      <protection hidden="1"/>
    </xf>
    <xf numFmtId="0" fontId="17" fillId="33" borderId="104" xfId="0" applyFont="1" applyFill="1" applyBorder="1" applyAlignment="1" applyProtection="1">
      <alignment horizontal="center" vertical="center"/>
      <protection hidden="1"/>
    </xf>
    <xf numFmtId="0" fontId="17" fillId="33" borderId="105" xfId="0" applyFont="1" applyFill="1" applyBorder="1" applyAlignment="1" applyProtection="1">
      <alignment horizontal="center" vertical="center"/>
      <protection hidden="1"/>
    </xf>
    <xf numFmtId="0" fontId="16" fillId="33" borderId="38" xfId="0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16" fillId="33" borderId="106" xfId="0" applyFont="1" applyFill="1" applyBorder="1" applyAlignment="1" applyProtection="1">
      <alignment horizontal="center"/>
      <protection hidden="1"/>
    </xf>
    <xf numFmtId="0" fontId="16" fillId="33" borderId="107" xfId="0" applyFont="1" applyFill="1" applyBorder="1" applyAlignment="1" applyProtection="1">
      <alignment horizontal="center"/>
      <protection hidden="1"/>
    </xf>
    <xf numFmtId="0" fontId="16" fillId="33" borderId="15" xfId="0" applyFont="1" applyFill="1" applyBorder="1" applyAlignment="1" applyProtection="1">
      <alignment horizontal="center"/>
      <protection hidden="1"/>
    </xf>
    <xf numFmtId="0" fontId="16" fillId="33" borderId="108" xfId="0" applyFont="1" applyFill="1" applyBorder="1" applyAlignment="1" applyProtection="1">
      <alignment horizontal="center"/>
      <protection hidden="1"/>
    </xf>
    <xf numFmtId="0" fontId="0" fillId="33" borderId="109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10" xfId="0" applyFill="1" applyBorder="1" applyAlignment="1" applyProtection="1">
      <alignment horizontal="center"/>
      <protection hidden="1"/>
    </xf>
    <xf numFmtId="0" fontId="16" fillId="0" borderId="97" xfId="0" applyFont="1" applyFill="1" applyBorder="1" applyAlignment="1" applyProtection="1">
      <alignment horizontal="left" vertical="center" indent="1"/>
      <protection hidden="1"/>
    </xf>
    <xf numFmtId="0" fontId="16" fillId="0" borderId="100" xfId="0" applyFont="1" applyFill="1" applyBorder="1" applyAlignment="1" applyProtection="1">
      <alignment horizontal="left" vertical="center" indent="1"/>
      <protection hidden="1"/>
    </xf>
    <xf numFmtId="0" fontId="16" fillId="0" borderId="111" xfId="0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horizontal="left" vertical="center"/>
      <protection hidden="1"/>
    </xf>
    <xf numFmtId="0" fontId="16" fillId="0" borderId="15" xfId="0" applyFont="1" applyFill="1" applyBorder="1" applyAlignment="1" applyProtection="1">
      <alignment horizontal="right" vertical="center"/>
      <protection hidden="1"/>
    </xf>
    <xf numFmtId="2" fontId="21" fillId="0" borderId="12" xfId="0" applyNumberFormat="1" applyFont="1" applyFill="1" applyBorder="1" applyAlignment="1" applyProtection="1">
      <alignment horizontal="center" vertical="center"/>
      <protection locked="0"/>
    </xf>
    <xf numFmtId="2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12" xfId="0" applyFont="1" applyFill="1" applyBorder="1" applyAlignment="1" applyProtection="1">
      <alignment horizontal="right" vertical="center"/>
      <protection hidden="1"/>
    </xf>
    <xf numFmtId="0" fontId="17" fillId="0" borderId="1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13" xfId="0" applyFont="1" applyFill="1" applyBorder="1" applyAlignment="1" applyProtection="1">
      <alignment horizontal="center" vertical="center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14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115" xfId="0" applyFont="1" applyFill="1" applyBorder="1" applyAlignment="1" applyProtection="1">
      <alignment horizontal="center" vertical="center"/>
      <protection hidden="1"/>
    </xf>
    <xf numFmtId="0" fontId="16" fillId="0" borderId="12" xfId="0" applyFont="1" applyFill="1" applyBorder="1" applyAlignment="1" applyProtection="1">
      <alignment horizontal="right" vertical="center"/>
      <protection hidden="1"/>
    </xf>
    <xf numFmtId="0" fontId="16" fillId="0" borderId="52" xfId="0" applyFont="1" applyFill="1" applyBorder="1" applyAlignment="1" applyProtection="1">
      <alignment horizontal="right" vertical="center"/>
      <protection hidden="1"/>
    </xf>
    <xf numFmtId="0" fontId="0" fillId="0" borderId="24" xfId="0" applyFill="1" applyBorder="1" applyAlignment="1" applyProtection="1">
      <alignment horizontal="right"/>
      <protection hidden="1"/>
    </xf>
    <xf numFmtId="221" fontId="0" fillId="0" borderId="24" xfId="0" applyNumberFormat="1" applyFont="1" applyFill="1" applyBorder="1" applyAlignment="1" applyProtection="1">
      <alignment horizontal="left" vertical="center" indent="1"/>
      <protection hidden="1"/>
    </xf>
    <xf numFmtId="221" fontId="0" fillId="0" borderId="24" xfId="0" applyNumberFormat="1" applyFill="1" applyBorder="1" applyAlignment="1" applyProtection="1">
      <alignment horizontal="left" vertical="center" indent="1"/>
      <protection hidden="1"/>
    </xf>
    <xf numFmtId="221" fontId="0" fillId="0" borderId="116" xfId="0" applyNumberFormat="1" applyFill="1" applyBorder="1" applyAlignment="1" applyProtection="1">
      <alignment horizontal="left" vertical="center" indent="1"/>
      <protection hidden="1"/>
    </xf>
    <xf numFmtId="0" fontId="0" fillId="0" borderId="112" xfId="0" applyFont="1" applyFill="1" applyBorder="1" applyAlignment="1" applyProtection="1">
      <alignment horizontal="center" vertical="center"/>
      <protection locked="0"/>
    </xf>
    <xf numFmtId="0" fontId="0" fillId="0" borderId="115" xfId="0" applyFont="1" applyFill="1" applyBorder="1" applyAlignment="1" applyProtection="1">
      <alignment horizontal="center" vertical="center"/>
      <protection locked="0"/>
    </xf>
    <xf numFmtId="0" fontId="16" fillId="0" borderId="111" xfId="0" applyFont="1" applyFill="1" applyBorder="1" applyAlignment="1" applyProtection="1">
      <alignment horizontal="center" vertical="center"/>
      <protection hidden="1"/>
    </xf>
    <xf numFmtId="0" fontId="0" fillId="0" borderId="113" xfId="0" applyFill="1" applyBorder="1" applyAlignment="1" applyProtection="1">
      <alignment horizontal="center" vertical="center"/>
      <protection hidden="1"/>
    </xf>
    <xf numFmtId="0" fontId="16" fillId="0" borderId="52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 vertical="center" indent="1"/>
      <protection hidden="1"/>
    </xf>
    <xf numFmtId="0" fontId="0" fillId="0" borderId="24" xfId="0" applyFill="1" applyBorder="1" applyAlignment="1" applyProtection="1">
      <alignment horizontal="left" vertical="center" indent="1"/>
      <protection locked="0"/>
    </xf>
    <xf numFmtId="0" fontId="0" fillId="0" borderId="116" xfId="0" applyFill="1" applyBorder="1" applyAlignment="1" applyProtection="1">
      <alignment horizontal="left" vertical="center" indent="1"/>
      <protection locked="0"/>
    </xf>
    <xf numFmtId="0" fontId="0" fillId="0" borderId="15" xfId="0" applyFill="1" applyBorder="1" applyAlignment="1" applyProtection="1">
      <alignment horizontal="left" vertical="center" indent="1"/>
      <protection locked="0"/>
    </xf>
    <xf numFmtId="0" fontId="0" fillId="0" borderId="115" xfId="0" applyFill="1" applyBorder="1" applyAlignment="1" applyProtection="1">
      <alignment horizontal="left" vertical="center" indent="1"/>
      <protection locked="0"/>
    </xf>
    <xf numFmtId="0" fontId="16" fillId="0" borderId="24" xfId="0" applyFont="1" applyFill="1" applyBorder="1" applyAlignment="1" applyProtection="1">
      <alignment horizontal="right" vertical="center"/>
      <protection hidden="1"/>
    </xf>
    <xf numFmtId="0" fontId="22" fillId="0" borderId="24" xfId="0" applyFont="1" applyFill="1" applyBorder="1" applyAlignment="1" applyProtection="1">
      <alignment horizontal="right" vertical="center"/>
      <protection hidden="1"/>
    </xf>
    <xf numFmtId="0" fontId="24" fillId="0" borderId="112" xfId="0" applyFont="1" applyFill="1" applyBorder="1" applyAlignment="1" applyProtection="1">
      <alignment horizontal="right" vertical="center"/>
      <protection hidden="1"/>
    </xf>
    <xf numFmtId="0" fontId="24" fillId="0" borderId="15" xfId="0" applyFont="1" applyFill="1" applyBorder="1" applyAlignment="1" applyProtection="1">
      <alignment horizontal="right" vertical="center"/>
      <protection hidden="1"/>
    </xf>
    <xf numFmtId="0" fontId="25" fillId="0" borderId="15" xfId="0" applyFont="1" applyFill="1" applyBorder="1" applyAlignment="1" applyProtection="1">
      <alignment horizontal="right" vertical="center"/>
      <protection hidden="1"/>
    </xf>
    <xf numFmtId="0" fontId="19" fillId="0" borderId="12" xfId="0" applyFont="1" applyFill="1" applyBorder="1" applyAlignment="1" applyProtection="1">
      <alignment horizontal="left" vertical="center" indent="1"/>
      <protection locked="0"/>
    </xf>
    <xf numFmtId="0" fontId="20" fillId="0" borderId="12" xfId="0" applyFont="1" applyFill="1" applyBorder="1" applyAlignment="1" applyProtection="1">
      <alignment horizontal="left" indent="1"/>
      <protection locked="0"/>
    </xf>
    <xf numFmtId="0" fontId="20" fillId="0" borderId="15" xfId="0" applyFont="1" applyFill="1" applyBorder="1" applyAlignment="1" applyProtection="1">
      <alignment horizontal="left" indent="1"/>
      <protection locked="0"/>
    </xf>
    <xf numFmtId="2" fontId="0" fillId="36" borderId="92" xfId="0" applyNumberFormat="1" applyFill="1" applyBorder="1" applyAlignment="1" applyProtection="1">
      <alignment horizontal="center"/>
      <protection locked="0"/>
    </xf>
    <xf numFmtId="0" fontId="0" fillId="0" borderId="38" xfId="0" applyNumberFormat="1" applyFill="1" applyBorder="1" applyAlignment="1" applyProtection="1">
      <alignment horizontal="center"/>
      <protection hidden="1"/>
    </xf>
    <xf numFmtId="0" fontId="0" fillId="0" borderId="117" xfId="0" applyNumberFormat="1" applyFill="1" applyBorder="1" applyAlignment="1" applyProtection="1">
      <alignment horizontal="center"/>
      <protection hidden="1"/>
    </xf>
    <xf numFmtId="0" fontId="0" fillId="0" borderId="118" xfId="0" applyFill="1" applyBorder="1" applyAlignment="1" applyProtection="1">
      <alignment horizontal="center"/>
      <protection hidden="1"/>
    </xf>
    <xf numFmtId="0" fontId="21" fillId="0" borderId="33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20" fillId="0" borderId="72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 applyProtection="1">
      <alignment horizontal="left" indent="1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6" xfId="0" applyNumberFormat="1" applyFont="1" applyFill="1" applyBorder="1" applyAlignment="1" applyProtection="1">
      <alignment horizontal="center" vertical="center"/>
      <protection hidden="1"/>
    </xf>
    <xf numFmtId="2" fontId="0" fillId="0" borderId="49" xfId="0" applyNumberFormat="1" applyFont="1" applyFill="1" applyBorder="1" applyAlignment="1" applyProtection="1">
      <alignment horizontal="center" vertical="center"/>
      <protection hidden="1"/>
    </xf>
    <xf numFmtId="2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vertical="center" textRotation="180"/>
      <protection hidden="1"/>
    </xf>
    <xf numFmtId="0" fontId="41" fillId="0" borderId="12" xfId="0" applyFont="1" applyBorder="1" applyAlignment="1">
      <alignment horizontal="center" vertical="center" textRotation="180"/>
    </xf>
    <xf numFmtId="0" fontId="41" fillId="0" borderId="0" xfId="0" applyFont="1" applyAlignment="1">
      <alignment horizontal="center" vertical="center" textRotation="180"/>
    </xf>
    <xf numFmtId="0" fontId="41" fillId="0" borderId="15" xfId="0" applyFont="1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41" fillId="0" borderId="33" xfId="0" applyFont="1" applyFill="1" applyBorder="1" applyAlignment="1" applyProtection="1">
      <alignment horizontal="center" vertical="center" textRotation="180"/>
      <protection hidden="1"/>
    </xf>
    <xf numFmtId="0" fontId="0" fillId="0" borderId="33" xfId="0" applyBorder="1" applyAlignment="1">
      <alignment horizontal="center" vertical="center" textRotation="180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17" fillId="0" borderId="11" xfId="0" applyFont="1" applyFill="1" applyBorder="1" applyAlignment="1" applyProtection="1">
      <alignment horizontal="center" textRotation="180"/>
      <protection hidden="1"/>
    </xf>
    <xf numFmtId="0" fontId="17" fillId="0" borderId="13" xfId="0" applyFont="1" applyFill="1" applyBorder="1" applyAlignment="1" applyProtection="1">
      <alignment horizontal="center" textRotation="180"/>
      <protection hidden="1"/>
    </xf>
    <xf numFmtId="0" fontId="17" fillId="0" borderId="72" xfId="0" applyFont="1" applyFill="1" applyBorder="1" applyAlignment="1" applyProtection="1">
      <alignment horizontal="center" textRotation="180"/>
      <protection hidden="1"/>
    </xf>
    <xf numFmtId="0" fontId="17" fillId="0" borderId="48" xfId="0" applyFont="1" applyFill="1" applyBorder="1" applyAlignment="1" applyProtection="1">
      <alignment horizontal="center" textRotation="180"/>
      <protection hidden="1"/>
    </xf>
    <xf numFmtId="0" fontId="17" fillId="0" borderId="121" xfId="0" applyFont="1" applyFill="1" applyBorder="1" applyAlignment="1" applyProtection="1">
      <alignment horizontal="center" textRotation="180"/>
      <protection hidden="1"/>
    </xf>
    <xf numFmtId="0" fontId="17" fillId="0" borderId="53" xfId="0" applyFont="1" applyFill="1" applyBorder="1" applyAlignment="1" applyProtection="1">
      <alignment horizontal="center" textRotation="180"/>
      <protection hidden="1"/>
    </xf>
    <xf numFmtId="0" fontId="17" fillId="0" borderId="122" xfId="0" applyFont="1" applyFill="1" applyBorder="1" applyAlignment="1" applyProtection="1">
      <alignment horizontal="center" textRotation="180"/>
      <protection hidden="1"/>
    </xf>
    <xf numFmtId="0" fontId="17" fillId="0" borderId="123" xfId="0" applyFont="1" applyFill="1" applyBorder="1" applyAlignment="1" applyProtection="1">
      <alignment horizontal="center" textRotation="180"/>
      <protection hidden="1"/>
    </xf>
    <xf numFmtId="0" fontId="17" fillId="0" borderId="54" xfId="0" applyFont="1" applyFill="1" applyBorder="1" applyAlignment="1" applyProtection="1">
      <alignment horizontal="center" textRotation="180"/>
      <protection hidden="1"/>
    </xf>
    <xf numFmtId="0" fontId="42" fillId="0" borderId="121" xfId="0" applyFont="1" applyFill="1" applyBorder="1" applyAlignment="1" applyProtection="1">
      <alignment horizontal="center" textRotation="180"/>
      <protection hidden="1"/>
    </xf>
    <xf numFmtId="0" fontId="42" fillId="0" borderId="53" xfId="0" applyFont="1" applyFill="1" applyBorder="1" applyAlignment="1" applyProtection="1">
      <alignment horizontal="center" textRotation="180"/>
      <protection hidden="1"/>
    </xf>
    <xf numFmtId="0" fontId="42" fillId="0" borderId="122" xfId="0" applyFont="1" applyFill="1" applyBorder="1" applyAlignment="1" applyProtection="1">
      <alignment horizontal="center" textRotation="180"/>
      <protection hidden="1"/>
    </xf>
    <xf numFmtId="0" fontId="42" fillId="0" borderId="13" xfId="0" applyFont="1" applyFill="1" applyBorder="1" applyAlignment="1" applyProtection="1">
      <alignment horizontal="center" textRotation="180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0" fillId="0" borderId="0" xfId="0" applyAlignment="1">
      <alignment/>
    </xf>
    <xf numFmtId="0" fontId="42" fillId="0" borderId="43" xfId="0" applyFont="1" applyFill="1" applyBorder="1" applyAlignment="1" applyProtection="1">
      <alignment horizontal="center" textRotation="180"/>
      <protection hidden="1"/>
    </xf>
    <xf numFmtId="0" fontId="42" fillId="0" borderId="11" xfId="0" applyFont="1" applyFill="1" applyBorder="1" applyAlignment="1" applyProtection="1">
      <alignment horizontal="center" textRotation="180"/>
      <protection hidden="1"/>
    </xf>
    <xf numFmtId="0" fontId="42" fillId="0" borderId="123" xfId="0" applyFont="1" applyFill="1" applyBorder="1" applyAlignment="1" applyProtection="1">
      <alignment horizontal="center" textRotation="180"/>
      <protection hidden="1"/>
    </xf>
    <xf numFmtId="0" fontId="42" fillId="0" borderId="54" xfId="0" applyFont="1" applyFill="1" applyBorder="1" applyAlignment="1" applyProtection="1">
      <alignment horizontal="center" textRotation="180"/>
      <protection hidden="1"/>
    </xf>
    <xf numFmtId="0" fontId="42" fillId="0" borderId="73" xfId="0" applyFont="1" applyFill="1" applyBorder="1" applyAlignment="1" applyProtection="1">
      <alignment horizontal="center" textRotation="180"/>
      <protection hidden="1"/>
    </xf>
    <xf numFmtId="0" fontId="42" fillId="0" borderId="50" xfId="0" applyFont="1" applyFill="1" applyBorder="1" applyAlignment="1" applyProtection="1">
      <alignment horizontal="center" textRotation="180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/>
    </xf>
    <xf numFmtId="0" fontId="7" fillId="0" borderId="124" xfId="0" applyFont="1" applyFill="1" applyBorder="1" applyAlignment="1" applyProtection="1">
      <alignment horizontal="center"/>
      <protection hidden="1"/>
    </xf>
    <xf numFmtId="0" fontId="7" fillId="0" borderId="8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25" xfId="0" applyFont="1" applyFill="1" applyBorder="1" applyAlignment="1" applyProtection="1">
      <alignment horizontal="center"/>
      <protection hidden="1"/>
    </xf>
    <xf numFmtId="0" fontId="7" fillId="0" borderId="77" xfId="0" applyFont="1" applyFill="1" applyBorder="1" applyAlignment="1" applyProtection="1">
      <alignment horizontal="right" vertical="center"/>
      <protection hidden="1"/>
    </xf>
    <xf numFmtId="0" fontId="6" fillId="0" borderId="12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75" xfId="0" applyFont="1" applyFill="1" applyBorder="1" applyAlignment="1" applyProtection="1">
      <alignment horizontal="center"/>
      <protection hidden="1"/>
    </xf>
    <xf numFmtId="0" fontId="7" fillId="0" borderId="126" xfId="0" applyFont="1" applyFill="1" applyBorder="1" applyAlignment="1" applyProtection="1">
      <alignment horizontal="center" textRotation="255" shrinkToFit="1"/>
      <protection hidden="1"/>
    </xf>
    <xf numFmtId="0" fontId="7" fillId="0" borderId="13" xfId="0" applyFont="1" applyFill="1" applyBorder="1" applyAlignment="1" applyProtection="1">
      <alignment horizontal="center" textRotation="255" shrinkToFit="1"/>
      <protection hidden="1"/>
    </xf>
    <xf numFmtId="0" fontId="7" fillId="0" borderId="74" xfId="0" applyFont="1" applyFill="1" applyBorder="1" applyAlignment="1" applyProtection="1">
      <alignment horizontal="center"/>
      <protection hidden="1"/>
    </xf>
    <xf numFmtId="0" fontId="7" fillId="0" borderId="43" xfId="0" applyFont="1" applyFill="1" applyBorder="1" applyAlignment="1" applyProtection="1">
      <alignment horizontal="center" textRotation="255" shrinkToFit="1"/>
      <protection hidden="1"/>
    </xf>
    <xf numFmtId="0" fontId="7" fillId="0" borderId="127" xfId="0" applyFont="1" applyFill="1" applyBorder="1" applyAlignment="1" applyProtection="1">
      <alignment horizontal="center" textRotation="255" shrinkToFit="1"/>
      <protection hidden="1"/>
    </xf>
    <xf numFmtId="0" fontId="7" fillId="0" borderId="47" xfId="0" applyFont="1" applyFill="1" applyBorder="1" applyAlignment="1" applyProtection="1">
      <alignment horizontal="center" textRotation="255" shrinkToFit="1"/>
      <protection hidden="1"/>
    </xf>
    <xf numFmtId="0" fontId="7" fillId="0" borderId="128" xfId="0" applyFont="1" applyFill="1" applyBorder="1" applyAlignment="1" applyProtection="1">
      <alignment horizontal="center" textRotation="255" shrinkToFit="1"/>
      <protection hidden="1"/>
    </xf>
    <xf numFmtId="0" fontId="7" fillId="0" borderId="48" xfId="0" applyFont="1" applyFill="1" applyBorder="1" applyAlignment="1" applyProtection="1">
      <alignment horizontal="center" textRotation="255" shrinkToFit="1"/>
      <protection hidden="1"/>
    </xf>
    <xf numFmtId="0" fontId="7" fillId="0" borderId="129" xfId="0" applyFont="1" applyFill="1" applyBorder="1" applyAlignment="1" applyProtection="1">
      <alignment horizontal="center" textRotation="255" shrinkToFit="1"/>
      <protection hidden="1"/>
    </xf>
    <xf numFmtId="0" fontId="7" fillId="0" borderId="46" xfId="0" applyFont="1" applyFill="1" applyBorder="1" applyAlignment="1" applyProtection="1">
      <alignment horizontal="center" textRotation="255" shrinkToFit="1"/>
      <protection hidden="1"/>
    </xf>
    <xf numFmtId="2" fontId="7" fillId="0" borderId="129" xfId="0" applyNumberFormat="1" applyFont="1" applyFill="1" applyBorder="1" applyAlignment="1" applyProtection="1">
      <alignment horizontal="center" textRotation="255" shrinkToFit="1"/>
      <protection hidden="1"/>
    </xf>
    <xf numFmtId="2" fontId="7" fillId="0" borderId="46" xfId="0" applyNumberFormat="1" applyFont="1" applyFill="1" applyBorder="1" applyAlignment="1" applyProtection="1">
      <alignment horizontal="center" textRotation="255" shrinkToFit="1"/>
      <protection hidden="1"/>
    </xf>
    <xf numFmtId="0" fontId="28" fillId="0" borderId="0" xfId="0" applyFont="1" applyFill="1" applyBorder="1" applyAlignment="1" applyProtection="1">
      <alignment horizontal="right" vertical="top"/>
      <protection hidden="1"/>
    </xf>
    <xf numFmtId="0" fontId="7" fillId="0" borderId="130" xfId="0" applyFont="1" applyFill="1" applyBorder="1" applyAlignment="1" applyProtection="1">
      <alignment horizontal="center"/>
      <protection hidden="1"/>
    </xf>
    <xf numFmtId="0" fontId="0" fillId="0" borderId="131" xfId="0" applyFont="1" applyFill="1" applyBorder="1" applyAlignment="1" applyProtection="1">
      <alignment horizontal="center" textRotation="255" shrinkToFit="1"/>
      <protection hidden="1"/>
    </xf>
    <xf numFmtId="0" fontId="0" fillId="0" borderId="45" xfId="0" applyFont="1" applyFill="1" applyBorder="1" applyAlignment="1" applyProtection="1">
      <alignment horizontal="center" textRotation="255" shrinkToFit="1"/>
      <protection hidden="1"/>
    </xf>
    <xf numFmtId="0" fontId="15" fillId="0" borderId="129" xfId="0" applyFont="1" applyFill="1" applyBorder="1" applyAlignment="1" applyProtection="1">
      <alignment horizontal="center" textRotation="255" shrinkToFit="1"/>
      <protection hidden="1"/>
    </xf>
    <xf numFmtId="0" fontId="15" fillId="0" borderId="46" xfId="0" applyFont="1" applyFill="1" applyBorder="1" applyAlignment="1" applyProtection="1">
      <alignment horizontal="center" textRotation="255" shrinkToFi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4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70</xdr:row>
      <xdr:rowOff>76200</xdr:rowOff>
    </xdr:from>
    <xdr:to>
      <xdr:col>2</xdr:col>
      <xdr:colOff>704850</xdr:colOff>
      <xdr:row>77</xdr:row>
      <xdr:rowOff>142875</xdr:rowOff>
    </xdr:to>
    <xdr:pic>
      <xdr:nvPicPr>
        <xdr:cNvPr id="1" name="Picture 2" descr="logowedstrijdbl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76337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70</xdr:row>
      <xdr:rowOff>142875</xdr:rowOff>
    </xdr:from>
    <xdr:to>
      <xdr:col>2</xdr:col>
      <xdr:colOff>704850</xdr:colOff>
      <xdr:row>78</xdr:row>
      <xdr:rowOff>19050</xdr:rowOff>
    </xdr:to>
    <xdr:pic>
      <xdr:nvPicPr>
        <xdr:cNvPr id="1" name="Picture 1" descr="logowedstrijdbl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830050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70</xdr:row>
      <xdr:rowOff>9525</xdr:rowOff>
    </xdr:from>
    <xdr:to>
      <xdr:col>2</xdr:col>
      <xdr:colOff>742950</xdr:colOff>
      <xdr:row>77</xdr:row>
      <xdr:rowOff>76200</xdr:rowOff>
    </xdr:to>
    <xdr:pic>
      <xdr:nvPicPr>
        <xdr:cNvPr id="1" name="Picture 1" descr="logowedstrijdbl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696700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70</xdr:row>
      <xdr:rowOff>57150</xdr:rowOff>
    </xdr:from>
    <xdr:to>
      <xdr:col>2</xdr:col>
      <xdr:colOff>723900</xdr:colOff>
      <xdr:row>77</xdr:row>
      <xdr:rowOff>123825</xdr:rowOff>
    </xdr:to>
    <xdr:pic>
      <xdr:nvPicPr>
        <xdr:cNvPr id="1" name="Picture 1" descr="logowedstrijdbl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74432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29</xdr:row>
      <xdr:rowOff>180975</xdr:rowOff>
    </xdr:from>
    <xdr:to>
      <xdr:col>10</xdr:col>
      <xdr:colOff>2057400</xdr:colOff>
      <xdr:row>38</xdr:row>
      <xdr:rowOff>152400</xdr:rowOff>
    </xdr:to>
    <xdr:pic>
      <xdr:nvPicPr>
        <xdr:cNvPr id="1" name="Picture 20" descr="logowedstrijdbl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7086600"/>
          <a:ext cx="19240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ings"/>
    </sheetNames>
    <sheetDataSet>
      <sheetData sheetId="0">
        <row r="1">
          <cell r="A1">
            <v>3</v>
          </cell>
        </row>
        <row r="3">
          <cell r="A3" t="str">
            <v>toernooi / tournoi :</v>
          </cell>
          <cell r="B3" t="str">
            <v>Tornooi :</v>
          </cell>
          <cell r="C3" t="str">
            <v>Turnier :</v>
          </cell>
          <cell r="D3" t="str">
            <v>Tournoi :</v>
          </cell>
          <cell r="E3" t="str">
            <v>Tournament :</v>
          </cell>
        </row>
        <row r="4">
          <cell r="A4" t="str">
            <v>Team :</v>
          </cell>
          <cell r="B4" t="str">
            <v>Team :</v>
          </cell>
          <cell r="C4" t="str">
            <v>Team:</v>
          </cell>
          <cell r="D4" t="str">
            <v>Equipe :</v>
          </cell>
          <cell r="E4" t="str">
            <v>Team :</v>
          </cell>
        </row>
        <row r="5">
          <cell r="A5" t="str">
            <v>Kapitein  /  Capitaine :</v>
          </cell>
          <cell r="B5" t="str">
            <v>Kapitein :</v>
          </cell>
          <cell r="C5" t="str">
            <v>Kapitän :</v>
          </cell>
          <cell r="D5" t="str">
            <v>Capitaine :</v>
          </cell>
          <cell r="E5" t="str">
            <v>Captain :</v>
          </cell>
        </row>
        <row r="6">
          <cell r="A6" t="str">
            <v>Ballader / Préposé au flybox :</v>
          </cell>
          <cell r="B6" t="str">
            <v>Ballader :</v>
          </cell>
          <cell r="C6" t="str">
            <v>Boxenlader :</v>
          </cell>
          <cell r="D6" t="str">
            <v>Préposé au box :</v>
          </cell>
          <cell r="E6" t="str">
            <v>Boxloader :</v>
          </cell>
        </row>
        <row r="7">
          <cell r="A7" t="str">
            <v>Datum / Date :</v>
          </cell>
          <cell r="B7" t="str">
            <v>Datum</v>
          </cell>
          <cell r="C7" t="str">
            <v>Datum:</v>
          </cell>
          <cell r="D7" t="str">
            <v>Date</v>
          </cell>
          <cell r="E7" t="str">
            <v>Date</v>
          </cell>
        </row>
        <row r="8">
          <cell r="A8" t="str">
            <v>uitbreektijd :</v>
          </cell>
          <cell r="B8" t="str">
            <v>Uitbreektijd</v>
          </cell>
          <cell r="C8" t="str">
            <v>Break Out Zeit</v>
          </cell>
          <cell r="D8" t="str">
            <v>Temps limite</v>
          </cell>
          <cell r="E8" t="str">
            <v>Breakout time</v>
          </cell>
        </row>
        <row r="9">
          <cell r="A9" t="str">
            <v>Beste tijden</v>
          </cell>
          <cell r="B9" t="str">
            <v>Beste Tijden</v>
          </cell>
          <cell r="C9" t="str">
            <v>Beste Zeiten</v>
          </cell>
          <cell r="E9" t="str">
            <v>Best times</v>
          </cell>
        </row>
        <row r="10">
          <cell r="A10" t="str">
            <v>Naam hond</v>
          </cell>
          <cell r="B10" t="str">
            <v>Naam hond</v>
          </cell>
          <cell r="C10" t="str">
            <v>Hundename</v>
          </cell>
          <cell r="E10" t="str">
            <v>Dog</v>
          </cell>
        </row>
        <row r="11">
          <cell r="A11" t="str">
            <v>Ras</v>
          </cell>
          <cell r="B11" t="str">
            <v>Ras</v>
          </cell>
          <cell r="C11" t="str">
            <v>Rasse</v>
          </cell>
          <cell r="E11" t="str">
            <v>Race</v>
          </cell>
        </row>
        <row r="12">
          <cell r="A12" t="str">
            <v>div</v>
          </cell>
          <cell r="B12" t="str">
            <v>Divisie </v>
          </cell>
          <cell r="C12" t="str">
            <v>Division </v>
          </cell>
          <cell r="E12" t="str">
            <v>Division</v>
          </cell>
        </row>
        <row r="13">
          <cell r="A13" t="str">
            <v>Sprong</v>
          </cell>
          <cell r="B13" t="str">
            <v>Sprong</v>
          </cell>
          <cell r="C13" t="str">
            <v>Sprunghöhe</v>
          </cell>
          <cell r="E13" t="str">
            <v>Height</v>
          </cell>
        </row>
        <row r="14">
          <cell r="A14" t="str">
            <v>controle</v>
          </cell>
          <cell r="B14" t="str">
            <v>Controle</v>
          </cell>
          <cell r="C14" t="str">
            <v>DE-Nr.</v>
          </cell>
          <cell r="E14" t="str">
            <v>Check</v>
          </cell>
        </row>
        <row r="15">
          <cell r="A15" t="str">
            <v>B.F.B. nr</v>
          </cell>
          <cell r="B15" t="str">
            <v>BFB nr.</v>
          </cell>
          <cell r="C15" t="str">
            <v>Team Nr.</v>
          </cell>
          <cell r="E15" t="str">
            <v>BFB nbr</v>
          </cell>
        </row>
        <row r="16">
          <cell r="A16" t="str">
            <v>Geleider</v>
          </cell>
          <cell r="B16" t="str">
            <v>Geleider</v>
          </cell>
          <cell r="C16" t="str">
            <v>Hundeführer</v>
          </cell>
          <cell r="E16" t="str">
            <v>Handler</v>
          </cell>
        </row>
        <row r="17">
          <cell r="A17" t="str">
            <v>Kwalificatie</v>
          </cell>
          <cell r="B17" t="str">
            <v>Kwalificatie</v>
          </cell>
          <cell r="E17" t="str">
            <v>Qualification</v>
          </cell>
        </row>
        <row r="18">
          <cell r="A18" t="str">
            <v>race</v>
          </cell>
          <cell r="B18" t="str">
            <v>Race</v>
          </cell>
          <cell r="C18" t="str">
            <v>Rennen</v>
          </cell>
          <cell r="E18" t="str">
            <v>Race</v>
          </cell>
        </row>
        <row r="19">
          <cell r="A19" t="str">
            <v>baan / piste</v>
          </cell>
          <cell r="B19" t="str">
            <v>Baan</v>
          </cell>
          <cell r="C19" t="str">
            <v>Bahn</v>
          </cell>
          <cell r="E19" t="str">
            <v>Lane</v>
          </cell>
        </row>
        <row r="20">
          <cell r="A20" t="str">
            <v>tegen / contre</v>
          </cell>
          <cell r="B20" t="str">
            <v>tegen</v>
          </cell>
          <cell r="C20" t="str">
            <v>gegen</v>
          </cell>
          <cell r="E20" t="str">
            <v>vs</v>
          </cell>
        </row>
        <row r="21">
          <cell r="A21" t="str">
            <v>heat</v>
          </cell>
          <cell r="B21" t="str">
            <v>heat</v>
          </cell>
          <cell r="C21" t="str">
            <v>Lauf</v>
          </cell>
          <cell r="E21" t="str">
            <v>heat</v>
          </cell>
        </row>
        <row r="22">
          <cell r="A22" t="str">
            <v>Honden / chiens</v>
          </cell>
          <cell r="B22" t="str">
            <v>Honden</v>
          </cell>
          <cell r="C22" t="str">
            <v>Hunde</v>
          </cell>
          <cell r="E22" t="str">
            <v>Dogs</v>
          </cell>
        </row>
        <row r="23">
          <cell r="A23" t="str">
            <v>          Tijd/Temps</v>
          </cell>
          <cell r="B23" t="str">
            <v>           Tijd</v>
          </cell>
          <cell r="C23" t="str">
            <v>           Zeit</v>
          </cell>
          <cell r="E23" t="str">
            <v>       Time</v>
          </cell>
        </row>
        <row r="24">
          <cell r="A24" t="str">
            <v>Blauw</v>
          </cell>
          <cell r="B24" t="str">
            <v>Blauw</v>
          </cell>
          <cell r="C24" t="str">
            <v>Blau</v>
          </cell>
          <cell r="E24" t="str">
            <v>Blue</v>
          </cell>
        </row>
        <row r="25">
          <cell r="A25" t="str">
            <v>Rood</v>
          </cell>
          <cell r="B25" t="str">
            <v>Rood </v>
          </cell>
          <cell r="C25" t="str">
            <v>Rot</v>
          </cell>
          <cell r="E25" t="str">
            <v>Red</v>
          </cell>
        </row>
        <row r="26">
          <cell r="A26" t="str">
            <v>Blauw / Bleu</v>
          </cell>
          <cell r="B26" t="str">
            <v>Blauw</v>
          </cell>
          <cell r="C26" t="str">
            <v>Blau</v>
          </cell>
          <cell r="E26" t="str">
            <v>Blue</v>
          </cell>
        </row>
        <row r="27">
          <cell r="A27" t="str">
            <v>Rood / Rouge</v>
          </cell>
          <cell r="B27" t="str">
            <v>Rood </v>
          </cell>
          <cell r="C27" t="str">
            <v>Rot</v>
          </cell>
          <cell r="E27" t="str">
            <v>Red</v>
          </cell>
        </row>
        <row r="28">
          <cell r="A28" t="str">
            <v>FINALE</v>
          </cell>
          <cell r="B28" t="str">
            <v>Finale</v>
          </cell>
          <cell r="C28" t="str">
            <v>Finale</v>
          </cell>
          <cell r="E28" t="str">
            <v>Final</v>
          </cell>
        </row>
        <row r="29">
          <cell r="B29" t="str">
            <v>Divisie</v>
          </cell>
          <cell r="C29" t="str">
            <v>Division</v>
          </cell>
          <cell r="E29" t="str">
            <v>Division</v>
          </cell>
        </row>
        <row r="30">
          <cell r="A30" t="str">
            <v>Finale Herkansing</v>
          </cell>
          <cell r="B30" t="str">
            <v>Finale Herkansing</v>
          </cell>
          <cell r="C30" t="str">
            <v>Finale Wiederholung</v>
          </cell>
          <cell r="E30" t="str">
            <v>Final Rerun</v>
          </cell>
        </row>
        <row r="31">
          <cell r="A31" t="str">
            <v>indien deze voor het eerst verliest</v>
          </cell>
          <cell r="B31" t="str">
            <v>indien deze voor het eerst verliest</v>
          </cell>
          <cell r="C31" t="str">
            <v>wenn zum ersten Mal verloren</v>
          </cell>
          <cell r="E31" t="str">
            <v>When first loss</v>
          </cell>
        </row>
        <row r="32">
          <cell r="A32" t="str">
            <v>WINNAAR</v>
          </cell>
          <cell r="B32" t="str">
            <v>WINNAAR</v>
          </cell>
          <cell r="C32" t="str">
            <v>Gewinner</v>
          </cell>
          <cell r="D32" t="str">
            <v>Vainqueur</v>
          </cell>
          <cell r="E32" t="str">
            <v>WINNER</v>
          </cell>
        </row>
        <row r="33">
          <cell r="A33" t="str">
            <v>BT</v>
          </cell>
          <cell r="B33" t="str">
            <v>BT</v>
          </cell>
          <cell r="C33" t="str">
            <v>BZ</v>
          </cell>
          <cell r="E33" t="str">
            <v>BT</v>
          </cell>
        </row>
        <row r="34">
          <cell r="A34" t="str">
            <v>Ptn</v>
          </cell>
          <cell r="B34" t="str">
            <v>Ptn</v>
          </cell>
          <cell r="C34" t="str">
            <v>Pkt.</v>
          </cell>
          <cell r="E34" t="str">
            <v>Pts</v>
          </cell>
        </row>
        <row r="35">
          <cell r="B35" t="str">
            <v>Uitslag</v>
          </cell>
          <cell r="C35" t="str">
            <v>Ergebnisse</v>
          </cell>
          <cell r="E35" t="str">
            <v>Results</v>
          </cell>
        </row>
        <row r="36">
          <cell r="B36" t="str">
            <v>totaal punten</v>
          </cell>
          <cell r="C36" t="str">
            <v>Gesamtpunkte</v>
          </cell>
          <cell r="E36" t="str">
            <v>Total points</v>
          </cell>
        </row>
        <row r="37">
          <cell r="B37" t="str">
            <v>snelste tijd</v>
          </cell>
          <cell r="C37" t="str">
            <v>schnellste Zeit</v>
          </cell>
          <cell r="E37" t="str">
            <v>Best time</v>
          </cell>
        </row>
        <row r="38">
          <cell r="B38" t="str">
            <v>2de snelste tijd</v>
          </cell>
          <cell r="C38" t="str">
            <v>zweitschnellste Zeit</v>
          </cell>
          <cell r="E38" t="str">
            <v>2nd best time</v>
          </cell>
        </row>
        <row r="39">
          <cell r="B39" t="str">
            <v>DA</v>
          </cell>
          <cell r="C39" t="str">
            <v>DE</v>
          </cell>
          <cell r="E39" t="str">
            <v>DE</v>
          </cell>
        </row>
        <row r="40">
          <cell r="B40" t="str">
            <v>Combi toernooi</v>
          </cell>
          <cell r="C40" t="str">
            <v>Kombi Turnier</v>
          </cell>
        </row>
        <row r="41">
          <cell r="B41" t="str">
            <v>Rangschikking</v>
          </cell>
          <cell r="C41" t="str">
            <v>Rangliste</v>
          </cell>
        </row>
        <row r="42">
          <cell r="B42" t="str">
            <v>Beste Tijd</v>
          </cell>
          <cell r="C42" t="str">
            <v>Beste Zeit</v>
          </cell>
          <cell r="E42" t="str">
            <v>Best time</v>
          </cell>
        </row>
        <row r="43">
          <cell r="A43" t="str">
            <v>BFB nr</v>
          </cell>
          <cell r="B43" t="str">
            <v>BFB nr.</v>
          </cell>
          <cell r="C43" t="str">
            <v>Hunde Nr.</v>
          </cell>
          <cell r="E43" t="str">
            <v>BFB nbr</v>
          </cell>
        </row>
        <row r="44">
          <cell r="A44" t="str">
            <v>    W / L / T</v>
          </cell>
          <cell r="B44" t="str">
            <v>    W/L/T</v>
          </cell>
          <cell r="C44" t="str">
            <v>    W/L/T</v>
          </cell>
          <cell r="E44" t="str">
            <v>      W/L/T</v>
          </cell>
        </row>
        <row r="45">
          <cell r="A45" t="str">
            <v>Equipe :</v>
          </cell>
        </row>
        <row r="46">
          <cell r="A46" t="str">
            <v>temps limite :</v>
          </cell>
        </row>
        <row r="47">
          <cell r="A47" t="str">
            <v>Nom du chien</v>
          </cell>
        </row>
        <row r="48">
          <cell r="A48" t="str">
            <v>Race(F)</v>
          </cell>
        </row>
        <row r="49">
          <cell r="A49" t="str">
            <v>Conducteur</v>
          </cell>
        </row>
        <row r="50">
          <cell r="A50" t="str">
            <v>Qualification</v>
          </cell>
        </row>
        <row r="51">
          <cell r="A51" t="str">
            <v>Saute</v>
          </cell>
        </row>
        <row r="52">
          <cell r="A52" t="str">
            <v>PLAATS</v>
          </cell>
          <cell r="B52" t="str">
            <v>PLAATS</v>
          </cell>
          <cell r="C52" t="str">
            <v>STELLE</v>
          </cell>
          <cell r="D52" t="str">
            <v>PLACE</v>
          </cell>
          <cell r="E52" t="str">
            <v>PLACE</v>
          </cell>
        </row>
        <row r="53">
          <cell r="A53" t="str">
            <v>Divisie</v>
          </cell>
          <cell r="B53" t="str">
            <v>Divisie</v>
          </cell>
          <cell r="C53" t="str">
            <v>Division</v>
          </cell>
          <cell r="D53" t="str">
            <v>Division</v>
          </cell>
          <cell r="E53" t="str">
            <v>Division</v>
          </cell>
        </row>
        <row r="54">
          <cell r="A54" t="str">
            <v>Veterans (&gt;=32)</v>
          </cell>
          <cell r="B54" t="str">
            <v>Veterans (&gt;=32)</v>
          </cell>
          <cell r="C54" t="str">
            <v>Veterans (&gt;=32)</v>
          </cell>
          <cell r="D54" t="str">
            <v>Veterans (&gt;=32)</v>
          </cell>
          <cell r="E54" t="str">
            <v>Veterans (&gt;=32)</v>
          </cell>
        </row>
        <row r="55">
          <cell r="A55" t="str">
            <v>Divisie  </v>
          </cell>
          <cell r="B55" t="str">
            <v>Divisie  </v>
          </cell>
          <cell r="C55" t="str">
            <v>Division  </v>
          </cell>
          <cell r="D55" t="str">
            <v>Division  </v>
          </cell>
          <cell r="E55" t="str">
            <v>Division  </v>
          </cell>
        </row>
        <row r="56">
          <cell r="A56" t="str">
            <v>BO</v>
          </cell>
          <cell r="B56" t="str">
            <v>BO</v>
          </cell>
          <cell r="C56" t="str">
            <v>BO </v>
          </cell>
          <cell r="D56" t="str">
            <v>BO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091"/>
  <sheetViews>
    <sheetView zoomScalePageLayoutView="0" workbookViewId="0" topLeftCell="A1">
      <pane ySplit="1" topLeftCell="A175" activePane="bottomLeft" state="frozen"/>
      <selection pane="topLeft" activeCell="A1" sqref="A1"/>
      <selection pane="bottomLeft" activeCell="A810" sqref="A810:L1091"/>
    </sheetView>
  </sheetViews>
  <sheetFormatPr defaultColWidth="9.140625" defaultRowHeight="12.75"/>
  <cols>
    <col min="1" max="1" width="21.8515625" style="0" bestFit="1" customWidth="1"/>
    <col min="2" max="2" width="10.421875" style="0" bestFit="1" customWidth="1"/>
    <col min="3" max="3" width="15.140625" style="0" customWidth="1"/>
    <col min="4" max="4" width="22.7109375" style="0" customWidth="1"/>
    <col min="5" max="5" width="13.00390625" style="0" bestFit="1" customWidth="1"/>
    <col min="6" max="6" width="13.7109375" style="0" customWidth="1"/>
    <col min="7" max="7" width="12.00390625" style="0" customWidth="1"/>
    <col min="8" max="8" width="10.140625" style="0" bestFit="1" customWidth="1"/>
    <col min="9" max="9" width="7.57421875" style="0" bestFit="1" customWidth="1"/>
    <col min="10" max="10" width="13.421875" style="0" customWidth="1"/>
    <col min="11" max="11" width="5.57421875" style="0" bestFit="1" customWidth="1"/>
    <col min="12" max="12" width="16.140625" style="0" bestFit="1" customWidth="1"/>
  </cols>
  <sheetData>
    <row r="1" spans="1:15" ht="15" customHeight="1">
      <c r="A1" s="470" t="s">
        <v>159</v>
      </c>
      <c r="B1" s="470" t="s">
        <v>160</v>
      </c>
      <c r="C1" s="470" t="s">
        <v>161</v>
      </c>
      <c r="D1" s="470" t="s">
        <v>162</v>
      </c>
      <c r="E1" s="470" t="s">
        <v>163</v>
      </c>
      <c r="F1" s="470" t="s">
        <v>164</v>
      </c>
      <c r="G1" s="470" t="s">
        <v>165</v>
      </c>
      <c r="H1" s="470" t="s">
        <v>166</v>
      </c>
      <c r="I1" s="470" t="s">
        <v>167</v>
      </c>
      <c r="J1" s="470" t="s">
        <v>168</v>
      </c>
      <c r="K1" s="470" t="s">
        <v>21</v>
      </c>
      <c r="L1" s="470" t="s">
        <v>169</v>
      </c>
      <c r="N1" s="474" t="s">
        <v>839</v>
      </c>
      <c r="O1">
        <f>COUNTA(A2:A1200)</f>
        <v>24</v>
      </c>
    </row>
    <row r="2" spans="1:12" ht="15" customHeight="1">
      <c r="A2" t="s">
        <v>170</v>
      </c>
      <c r="B2">
        <v>12</v>
      </c>
      <c r="C2" t="s">
        <v>171</v>
      </c>
      <c r="D2" t="s">
        <v>172</v>
      </c>
      <c r="E2" t="s">
        <v>886</v>
      </c>
      <c r="F2" t="s">
        <v>173</v>
      </c>
      <c r="G2" s="475" t="s">
        <v>887</v>
      </c>
      <c r="H2" s="475" t="s">
        <v>888</v>
      </c>
      <c r="I2" t="s">
        <v>835</v>
      </c>
      <c r="J2" t="s">
        <v>174</v>
      </c>
      <c r="K2">
        <v>17</v>
      </c>
      <c r="L2">
        <v>276098100652591</v>
      </c>
    </row>
    <row r="3" spans="1:12" ht="12.75">
      <c r="A3" t="s">
        <v>170</v>
      </c>
      <c r="B3">
        <v>15</v>
      </c>
      <c r="C3" t="s">
        <v>130</v>
      </c>
      <c r="D3" t="s">
        <v>175</v>
      </c>
      <c r="E3" t="s">
        <v>886</v>
      </c>
      <c r="F3" t="s">
        <v>176</v>
      </c>
      <c r="G3" s="475" t="s">
        <v>889</v>
      </c>
      <c r="H3" s="475" t="s">
        <v>890</v>
      </c>
      <c r="I3" t="s">
        <v>835</v>
      </c>
      <c r="J3" t="s">
        <v>177</v>
      </c>
      <c r="K3">
        <v>17</v>
      </c>
      <c r="L3">
        <v>276098101373573</v>
      </c>
    </row>
    <row r="4" spans="1:12" ht="12.75">
      <c r="A4" t="s">
        <v>178</v>
      </c>
      <c r="B4">
        <v>22</v>
      </c>
      <c r="C4" t="s">
        <v>470</v>
      </c>
      <c r="D4" t="s">
        <v>103</v>
      </c>
      <c r="E4" t="s">
        <v>886</v>
      </c>
      <c r="F4" t="s">
        <v>420</v>
      </c>
      <c r="G4" s="475" t="s">
        <v>891</v>
      </c>
      <c r="H4" s="475" t="s">
        <v>892</v>
      </c>
      <c r="I4" t="s">
        <v>835</v>
      </c>
      <c r="J4" t="s">
        <v>181</v>
      </c>
      <c r="K4">
        <v>15</v>
      </c>
      <c r="L4">
        <v>276097209034624</v>
      </c>
    </row>
    <row r="5" spans="1:12" ht="12.75">
      <c r="A5" t="s">
        <v>833</v>
      </c>
      <c r="B5">
        <v>26</v>
      </c>
      <c r="C5" t="s">
        <v>893</v>
      </c>
      <c r="D5" t="s">
        <v>103</v>
      </c>
      <c r="E5" t="s">
        <v>894</v>
      </c>
      <c r="F5" t="s">
        <v>215</v>
      </c>
      <c r="G5" s="475" t="s">
        <v>895</v>
      </c>
      <c r="H5" s="475" t="s">
        <v>896</v>
      </c>
      <c r="I5">
        <v>532</v>
      </c>
      <c r="J5" t="s">
        <v>560</v>
      </c>
      <c r="L5">
        <v>276096909256827</v>
      </c>
    </row>
    <row r="6" spans="1:12" ht="12.75">
      <c r="A6" t="s">
        <v>230</v>
      </c>
      <c r="B6">
        <v>210</v>
      </c>
      <c r="C6" t="s">
        <v>791</v>
      </c>
      <c r="D6" t="s">
        <v>103</v>
      </c>
      <c r="E6" t="s">
        <v>886</v>
      </c>
      <c r="F6" t="s">
        <v>559</v>
      </c>
      <c r="G6" s="475" t="s">
        <v>897</v>
      </c>
      <c r="H6" s="475" t="s">
        <v>898</v>
      </c>
      <c r="I6" t="s">
        <v>835</v>
      </c>
      <c r="J6" t="s">
        <v>560</v>
      </c>
      <c r="K6">
        <v>32</v>
      </c>
      <c r="L6">
        <v>276093400150099</v>
      </c>
    </row>
    <row r="7" spans="1:12" ht="15" customHeight="1">
      <c r="A7" t="s">
        <v>258</v>
      </c>
      <c r="B7">
        <v>223</v>
      </c>
      <c r="C7" t="s">
        <v>259</v>
      </c>
      <c r="D7" t="s">
        <v>131</v>
      </c>
      <c r="E7" t="s">
        <v>899</v>
      </c>
      <c r="F7" t="s">
        <v>260</v>
      </c>
      <c r="G7" s="475" t="s">
        <v>900</v>
      </c>
      <c r="H7" s="475" t="s">
        <v>901</v>
      </c>
      <c r="I7">
        <v>3609</v>
      </c>
      <c r="J7" t="s">
        <v>261</v>
      </c>
      <c r="K7">
        <v>44</v>
      </c>
      <c r="L7">
        <v>945000000572953</v>
      </c>
    </row>
    <row r="8" spans="1:12" ht="15" customHeight="1">
      <c r="A8" t="s">
        <v>833</v>
      </c>
      <c r="B8">
        <v>299</v>
      </c>
      <c r="C8" t="s">
        <v>902</v>
      </c>
      <c r="D8" t="s">
        <v>561</v>
      </c>
      <c r="E8" t="s">
        <v>903</v>
      </c>
      <c r="F8" t="s">
        <v>335</v>
      </c>
      <c r="G8" s="475" t="s">
        <v>904</v>
      </c>
      <c r="H8" s="475" t="s">
        <v>905</v>
      </c>
      <c r="I8">
        <v>529</v>
      </c>
      <c r="J8" t="s">
        <v>336</v>
      </c>
      <c r="L8">
        <v>945000001282267</v>
      </c>
    </row>
    <row r="9" spans="1:12" ht="15" customHeight="1">
      <c r="A9" t="s">
        <v>219</v>
      </c>
      <c r="B9">
        <v>311</v>
      </c>
      <c r="C9" t="s">
        <v>105</v>
      </c>
      <c r="D9" t="s">
        <v>123</v>
      </c>
      <c r="E9" t="s">
        <v>894</v>
      </c>
      <c r="F9" t="s">
        <v>331</v>
      </c>
      <c r="G9" s="475" t="s">
        <v>906</v>
      </c>
      <c r="H9" s="475" t="s">
        <v>907</v>
      </c>
      <c r="I9">
        <v>526</v>
      </c>
      <c r="J9" t="s">
        <v>908</v>
      </c>
      <c r="L9">
        <v>276093400219193</v>
      </c>
    </row>
    <row r="10" spans="1:12" ht="15" customHeight="1">
      <c r="A10" t="s">
        <v>253</v>
      </c>
      <c r="B10">
        <v>325</v>
      </c>
      <c r="C10" t="s">
        <v>297</v>
      </c>
      <c r="D10" t="s">
        <v>241</v>
      </c>
      <c r="E10" t="s">
        <v>886</v>
      </c>
      <c r="F10" t="s">
        <v>298</v>
      </c>
      <c r="G10" s="475" t="s">
        <v>909</v>
      </c>
      <c r="H10" s="475" t="s">
        <v>910</v>
      </c>
      <c r="I10" t="s">
        <v>835</v>
      </c>
      <c r="J10" t="s">
        <v>299</v>
      </c>
      <c r="K10">
        <v>45</v>
      </c>
      <c r="L10">
        <v>276098510193980</v>
      </c>
    </row>
    <row r="11" spans="1:12" ht="15" customHeight="1">
      <c r="A11" t="s">
        <v>230</v>
      </c>
      <c r="B11">
        <v>350</v>
      </c>
      <c r="C11" t="s">
        <v>911</v>
      </c>
      <c r="D11" t="s">
        <v>126</v>
      </c>
      <c r="E11" t="s">
        <v>886</v>
      </c>
      <c r="F11" t="s">
        <v>417</v>
      </c>
      <c r="G11" s="475" t="s">
        <v>912</v>
      </c>
      <c r="H11" s="475" t="s">
        <v>913</v>
      </c>
      <c r="I11" t="s">
        <v>835</v>
      </c>
      <c r="J11" t="s">
        <v>270</v>
      </c>
      <c r="K11">
        <v>32</v>
      </c>
      <c r="L11">
        <v>276098104412948</v>
      </c>
    </row>
    <row r="12" spans="1:12" ht="15" customHeight="1">
      <c r="A12" t="s">
        <v>324</v>
      </c>
      <c r="B12">
        <v>376</v>
      </c>
      <c r="C12" t="s">
        <v>443</v>
      </c>
      <c r="D12" t="s">
        <v>123</v>
      </c>
      <c r="E12" t="s">
        <v>914</v>
      </c>
      <c r="F12" t="s">
        <v>331</v>
      </c>
      <c r="G12" s="475" t="s">
        <v>915</v>
      </c>
      <c r="H12" s="475" t="s">
        <v>916</v>
      </c>
      <c r="I12">
        <v>527</v>
      </c>
      <c r="J12" t="s">
        <v>908</v>
      </c>
      <c r="L12">
        <v>276096100249092</v>
      </c>
    </row>
    <row r="13" spans="1:12" ht="15" customHeight="1">
      <c r="A13" t="s">
        <v>324</v>
      </c>
      <c r="B13">
        <v>379</v>
      </c>
      <c r="C13" t="s">
        <v>451</v>
      </c>
      <c r="D13" t="s">
        <v>103</v>
      </c>
      <c r="E13" t="s">
        <v>899</v>
      </c>
      <c r="F13" t="s">
        <v>520</v>
      </c>
      <c r="G13" s="475" t="s">
        <v>917</v>
      </c>
      <c r="H13" s="475" t="s">
        <v>918</v>
      </c>
      <c r="I13">
        <v>530</v>
      </c>
      <c r="J13" t="s">
        <v>919</v>
      </c>
      <c r="L13">
        <v>276096907012146</v>
      </c>
    </row>
    <row r="14" spans="2:12" ht="12.75">
      <c r="B14">
        <v>399</v>
      </c>
      <c r="C14" t="s">
        <v>363</v>
      </c>
      <c r="D14" t="s">
        <v>172</v>
      </c>
      <c r="E14" t="s">
        <v>886</v>
      </c>
      <c r="F14" t="s">
        <v>376</v>
      </c>
      <c r="G14" s="475" t="s">
        <v>920</v>
      </c>
      <c r="H14" s="475" t="s">
        <v>921</v>
      </c>
      <c r="I14" t="s">
        <v>835</v>
      </c>
      <c r="J14" t="s">
        <v>922</v>
      </c>
      <c r="K14">
        <v>61</v>
      </c>
      <c r="L14">
        <v>276098104604798</v>
      </c>
    </row>
    <row r="15" spans="2:12" ht="15" customHeight="1">
      <c r="B15">
        <v>411</v>
      </c>
      <c r="C15" t="s">
        <v>295</v>
      </c>
      <c r="D15" t="s">
        <v>122</v>
      </c>
      <c r="E15" t="s">
        <v>923</v>
      </c>
      <c r="F15" t="s">
        <v>343</v>
      </c>
      <c r="G15" s="475" t="s">
        <v>924</v>
      </c>
      <c r="H15" s="475" t="s">
        <v>925</v>
      </c>
      <c r="I15">
        <v>404</v>
      </c>
      <c r="J15" t="s">
        <v>197</v>
      </c>
      <c r="K15">
        <v>22</v>
      </c>
      <c r="L15">
        <v>276096100171839</v>
      </c>
    </row>
    <row r="16" spans="1:12" ht="15" customHeight="1">
      <c r="A16" t="s">
        <v>264</v>
      </c>
      <c r="B16">
        <v>416</v>
      </c>
      <c r="C16" t="s">
        <v>346</v>
      </c>
      <c r="D16" t="s">
        <v>347</v>
      </c>
      <c r="E16" t="s">
        <v>914</v>
      </c>
      <c r="F16" t="s">
        <v>562</v>
      </c>
      <c r="G16" s="475" t="s">
        <v>926</v>
      </c>
      <c r="H16" s="475" t="s">
        <v>927</v>
      </c>
      <c r="I16">
        <v>10003</v>
      </c>
      <c r="J16" t="s">
        <v>349</v>
      </c>
      <c r="K16">
        <v>36</v>
      </c>
      <c r="L16">
        <v>276098510227050</v>
      </c>
    </row>
    <row r="17" spans="2:12" ht="15" customHeight="1">
      <c r="B17">
        <v>418</v>
      </c>
      <c r="C17" t="s">
        <v>350</v>
      </c>
      <c r="D17" t="s">
        <v>191</v>
      </c>
      <c r="E17" t="s">
        <v>928</v>
      </c>
      <c r="F17" t="s">
        <v>351</v>
      </c>
      <c r="G17" s="475" t="s">
        <v>929</v>
      </c>
      <c r="H17" s="475" t="s">
        <v>930</v>
      </c>
      <c r="I17">
        <v>3507</v>
      </c>
      <c r="J17" t="s">
        <v>352</v>
      </c>
      <c r="K17">
        <v>45</v>
      </c>
      <c r="L17">
        <v>945000000440525</v>
      </c>
    </row>
    <row r="18" spans="1:12" ht="15" customHeight="1">
      <c r="A18" t="s">
        <v>311</v>
      </c>
      <c r="B18">
        <v>452</v>
      </c>
      <c r="C18" t="s">
        <v>354</v>
      </c>
      <c r="D18" t="s">
        <v>191</v>
      </c>
      <c r="E18" t="s">
        <v>931</v>
      </c>
      <c r="F18" t="s">
        <v>189</v>
      </c>
      <c r="G18" s="475" t="s">
        <v>932</v>
      </c>
      <c r="H18" s="475" t="s">
        <v>933</v>
      </c>
      <c r="I18">
        <v>8101</v>
      </c>
      <c r="J18" t="s">
        <v>233</v>
      </c>
      <c r="L18">
        <v>276098102108530</v>
      </c>
    </row>
    <row r="19" spans="2:12" ht="15" customHeight="1">
      <c r="B19">
        <v>453</v>
      </c>
      <c r="C19" t="s">
        <v>367</v>
      </c>
      <c r="D19" t="s">
        <v>103</v>
      </c>
      <c r="E19" t="s">
        <v>886</v>
      </c>
      <c r="F19" t="s">
        <v>368</v>
      </c>
      <c r="G19" s="475" t="s">
        <v>934</v>
      </c>
      <c r="H19" s="475" t="s">
        <v>935</v>
      </c>
      <c r="I19" t="s">
        <v>835</v>
      </c>
      <c r="J19" t="s">
        <v>369</v>
      </c>
      <c r="K19">
        <v>64</v>
      </c>
      <c r="L19">
        <v>276098100664673</v>
      </c>
    </row>
    <row r="20" spans="2:12" ht="15" customHeight="1">
      <c r="B20">
        <v>459</v>
      </c>
      <c r="C20" t="s">
        <v>373</v>
      </c>
      <c r="D20" t="s">
        <v>356</v>
      </c>
      <c r="E20" t="s">
        <v>886</v>
      </c>
      <c r="F20" t="s">
        <v>374</v>
      </c>
      <c r="G20" s="475" t="s">
        <v>936</v>
      </c>
      <c r="H20" s="475" t="s">
        <v>937</v>
      </c>
      <c r="I20" t="s">
        <v>835</v>
      </c>
      <c r="J20" t="s">
        <v>375</v>
      </c>
      <c r="K20">
        <v>68</v>
      </c>
      <c r="L20">
        <v>276096900133796</v>
      </c>
    </row>
    <row r="21" spans="2:12" ht="15" customHeight="1">
      <c r="B21">
        <v>555</v>
      </c>
      <c r="C21" t="s">
        <v>190</v>
      </c>
      <c r="D21" t="s">
        <v>229</v>
      </c>
      <c r="E21" t="s">
        <v>903</v>
      </c>
      <c r="F21" t="s">
        <v>399</v>
      </c>
      <c r="G21" s="475" t="s">
        <v>938</v>
      </c>
      <c r="H21" s="475" t="s">
        <v>939</v>
      </c>
      <c r="I21">
        <v>805</v>
      </c>
      <c r="J21" t="s">
        <v>400</v>
      </c>
      <c r="K21">
        <v>27</v>
      </c>
      <c r="L21">
        <v>276098102253911</v>
      </c>
    </row>
    <row r="22" spans="2:12" ht="15" customHeight="1">
      <c r="B22">
        <v>624</v>
      </c>
      <c r="C22" t="s">
        <v>425</v>
      </c>
      <c r="D22" t="s">
        <v>103</v>
      </c>
      <c r="E22" t="s">
        <v>886</v>
      </c>
      <c r="F22" t="s">
        <v>426</v>
      </c>
      <c r="G22" s="475" t="s">
        <v>940</v>
      </c>
      <c r="H22" s="475" t="s">
        <v>941</v>
      </c>
      <c r="I22" t="s">
        <v>835</v>
      </c>
      <c r="J22" t="s">
        <v>942</v>
      </c>
      <c r="K22">
        <v>51</v>
      </c>
      <c r="L22">
        <v>276096901103256</v>
      </c>
    </row>
    <row r="23" spans="2:12" ht="15" customHeight="1">
      <c r="B23">
        <v>626</v>
      </c>
      <c r="C23" t="s">
        <v>143</v>
      </c>
      <c r="D23" t="s">
        <v>229</v>
      </c>
      <c r="E23" t="s">
        <v>928</v>
      </c>
      <c r="F23" t="s">
        <v>269</v>
      </c>
      <c r="G23" s="475" t="s">
        <v>943</v>
      </c>
      <c r="H23" s="475" t="s">
        <v>944</v>
      </c>
      <c r="I23">
        <v>804</v>
      </c>
      <c r="J23" t="s">
        <v>427</v>
      </c>
      <c r="K23">
        <v>27</v>
      </c>
      <c r="L23">
        <v>276097200597767</v>
      </c>
    </row>
    <row r="24" spans="2:12" ht="12.75">
      <c r="B24">
        <v>632</v>
      </c>
      <c r="C24" t="s">
        <v>384</v>
      </c>
      <c r="D24" t="s">
        <v>126</v>
      </c>
      <c r="E24" t="s">
        <v>886</v>
      </c>
      <c r="F24" t="s">
        <v>431</v>
      </c>
      <c r="G24" s="475" t="s">
        <v>945</v>
      </c>
      <c r="H24" s="475" t="s">
        <v>946</v>
      </c>
      <c r="I24" t="s">
        <v>835</v>
      </c>
      <c r="J24" t="s">
        <v>432</v>
      </c>
      <c r="K24">
        <v>70</v>
      </c>
      <c r="L24">
        <v>276098100689964</v>
      </c>
    </row>
    <row r="25" spans="2:12" ht="12.75">
      <c r="B25">
        <v>653</v>
      </c>
      <c r="C25" t="s">
        <v>114</v>
      </c>
      <c r="D25" t="s">
        <v>123</v>
      </c>
      <c r="E25" t="s">
        <v>886</v>
      </c>
      <c r="F25" t="s">
        <v>289</v>
      </c>
      <c r="G25" s="475" t="s">
        <v>947</v>
      </c>
      <c r="H25" s="475" t="s">
        <v>948</v>
      </c>
      <c r="I25" t="s">
        <v>835</v>
      </c>
      <c r="J25" t="s">
        <v>290</v>
      </c>
      <c r="K25">
        <v>53</v>
      </c>
      <c r="L25">
        <v>427405928374625</v>
      </c>
    </row>
    <row r="26" spans="1:12" ht="12.75">
      <c r="A26" t="s">
        <v>949</v>
      </c>
      <c r="B26">
        <v>672</v>
      </c>
      <c r="C26" t="s">
        <v>439</v>
      </c>
      <c r="D26" t="s">
        <v>424</v>
      </c>
      <c r="E26" t="s">
        <v>886</v>
      </c>
      <c r="F26" t="s">
        <v>950</v>
      </c>
      <c r="G26" s="475" t="s">
        <v>951</v>
      </c>
      <c r="H26" s="475" t="s">
        <v>952</v>
      </c>
      <c r="I26" t="s">
        <v>835</v>
      </c>
      <c r="J26" t="s">
        <v>349</v>
      </c>
      <c r="L26">
        <v>40098100191380</v>
      </c>
    </row>
    <row r="27" spans="2:12" ht="15" customHeight="1">
      <c r="B27">
        <v>725</v>
      </c>
      <c r="C27" t="s">
        <v>447</v>
      </c>
      <c r="D27" t="s">
        <v>172</v>
      </c>
      <c r="E27" t="s">
        <v>931</v>
      </c>
      <c r="F27" t="s">
        <v>192</v>
      </c>
      <c r="G27" s="475" t="s">
        <v>953</v>
      </c>
      <c r="H27" s="475" t="s">
        <v>954</v>
      </c>
      <c r="I27">
        <v>422</v>
      </c>
      <c r="J27" t="s">
        <v>193</v>
      </c>
      <c r="K27">
        <v>22</v>
      </c>
      <c r="L27">
        <v>276096900330859</v>
      </c>
    </row>
    <row r="28" spans="2:12" ht="15" customHeight="1">
      <c r="B28">
        <v>727</v>
      </c>
      <c r="C28" t="s">
        <v>448</v>
      </c>
      <c r="D28" t="s">
        <v>449</v>
      </c>
      <c r="E28" t="s">
        <v>886</v>
      </c>
      <c r="F28" t="s">
        <v>218</v>
      </c>
      <c r="G28" s="475" t="s">
        <v>955</v>
      </c>
      <c r="H28" s="475" t="s">
        <v>956</v>
      </c>
      <c r="I28" t="s">
        <v>835</v>
      </c>
      <c r="J28" t="s">
        <v>174</v>
      </c>
      <c r="K28">
        <v>32</v>
      </c>
      <c r="L28">
        <v>276097200863553</v>
      </c>
    </row>
    <row r="29" spans="2:12" ht="12.75">
      <c r="B29">
        <v>729</v>
      </c>
      <c r="C29" t="s">
        <v>450</v>
      </c>
      <c r="D29" t="s">
        <v>199</v>
      </c>
      <c r="E29" t="s">
        <v>931</v>
      </c>
      <c r="F29" t="s">
        <v>451</v>
      </c>
      <c r="G29" s="475" t="s">
        <v>957</v>
      </c>
      <c r="H29" s="475" t="s">
        <v>958</v>
      </c>
      <c r="I29">
        <v>501</v>
      </c>
      <c r="J29" t="s">
        <v>452</v>
      </c>
      <c r="K29">
        <v>16</v>
      </c>
      <c r="L29">
        <v>276096100126011</v>
      </c>
    </row>
    <row r="30" spans="2:12" ht="12.75">
      <c r="B30">
        <v>730</v>
      </c>
      <c r="C30" t="s">
        <v>453</v>
      </c>
      <c r="D30" t="s">
        <v>424</v>
      </c>
      <c r="E30" t="s">
        <v>886</v>
      </c>
      <c r="F30" t="s">
        <v>451</v>
      </c>
      <c r="G30" s="475" t="s">
        <v>959</v>
      </c>
      <c r="H30" s="475" t="s">
        <v>958</v>
      </c>
      <c r="I30" t="s">
        <v>835</v>
      </c>
      <c r="J30" t="s">
        <v>452</v>
      </c>
      <c r="K30">
        <v>32</v>
      </c>
      <c r="L30">
        <v>276097201003391</v>
      </c>
    </row>
    <row r="31" spans="2:12" ht="15" customHeight="1">
      <c r="B31">
        <v>732</v>
      </c>
      <c r="C31" t="s">
        <v>454</v>
      </c>
      <c r="D31" t="s">
        <v>960</v>
      </c>
      <c r="E31" t="s">
        <v>886</v>
      </c>
      <c r="F31" t="s">
        <v>378</v>
      </c>
      <c r="G31" s="475" t="s">
        <v>961</v>
      </c>
      <c r="H31" s="475" t="s">
        <v>962</v>
      </c>
      <c r="I31" t="s">
        <v>835</v>
      </c>
      <c r="J31" t="s">
        <v>201</v>
      </c>
      <c r="K31">
        <v>22</v>
      </c>
      <c r="L31">
        <v>276093400013067</v>
      </c>
    </row>
    <row r="32" spans="2:12" ht="15" customHeight="1">
      <c r="B32">
        <v>743</v>
      </c>
      <c r="C32" t="s">
        <v>455</v>
      </c>
      <c r="D32" t="s">
        <v>126</v>
      </c>
      <c r="E32" t="s">
        <v>886</v>
      </c>
      <c r="F32" t="s">
        <v>963</v>
      </c>
      <c r="G32" s="475" t="s">
        <v>964</v>
      </c>
      <c r="H32" s="475" t="s">
        <v>965</v>
      </c>
      <c r="I32" t="s">
        <v>835</v>
      </c>
      <c r="K32">
        <v>88</v>
      </c>
      <c r="L32">
        <v>276098104327883</v>
      </c>
    </row>
    <row r="33" spans="2:12" ht="15" customHeight="1">
      <c r="B33">
        <v>745</v>
      </c>
      <c r="C33" t="s">
        <v>407</v>
      </c>
      <c r="D33" t="s">
        <v>449</v>
      </c>
      <c r="E33" t="s">
        <v>886</v>
      </c>
      <c r="F33" t="s">
        <v>344</v>
      </c>
      <c r="G33" s="475" t="s">
        <v>966</v>
      </c>
      <c r="H33" s="475" t="s">
        <v>967</v>
      </c>
      <c r="I33" t="s">
        <v>835</v>
      </c>
      <c r="J33" t="s">
        <v>456</v>
      </c>
      <c r="K33">
        <v>89</v>
      </c>
      <c r="L33">
        <v>276098510197898</v>
      </c>
    </row>
    <row r="34" spans="2:12" ht="15" customHeight="1">
      <c r="B34">
        <v>777</v>
      </c>
      <c r="C34" t="s">
        <v>675</v>
      </c>
      <c r="D34" t="s">
        <v>468</v>
      </c>
      <c r="E34" t="s">
        <v>894</v>
      </c>
      <c r="F34" t="s">
        <v>274</v>
      </c>
      <c r="G34" s="475" t="s">
        <v>968</v>
      </c>
      <c r="H34" s="475" t="s">
        <v>969</v>
      </c>
      <c r="I34">
        <v>2804</v>
      </c>
      <c r="J34" t="s">
        <v>656</v>
      </c>
      <c r="K34">
        <v>95</v>
      </c>
      <c r="L34">
        <v>276093400114997</v>
      </c>
    </row>
    <row r="35" spans="1:12" ht="12.75">
      <c r="A35" t="s">
        <v>469</v>
      </c>
      <c r="B35">
        <v>782</v>
      </c>
      <c r="C35" t="s">
        <v>471</v>
      </c>
      <c r="D35" t="s">
        <v>268</v>
      </c>
      <c r="E35" t="s">
        <v>886</v>
      </c>
      <c r="F35" t="s">
        <v>180</v>
      </c>
      <c r="G35" s="475" t="s">
        <v>970</v>
      </c>
      <c r="H35" s="475" t="s">
        <v>971</v>
      </c>
      <c r="I35" t="s">
        <v>835</v>
      </c>
      <c r="J35" t="s">
        <v>270</v>
      </c>
      <c r="L35">
        <v>276098102506850</v>
      </c>
    </row>
    <row r="36" spans="2:12" ht="12.75">
      <c r="B36">
        <v>808</v>
      </c>
      <c r="C36" t="s">
        <v>138</v>
      </c>
      <c r="D36" t="s">
        <v>126</v>
      </c>
      <c r="E36" t="s">
        <v>886</v>
      </c>
      <c r="F36" t="s">
        <v>963</v>
      </c>
      <c r="G36" s="475" t="s">
        <v>972</v>
      </c>
      <c r="H36" s="475" t="s">
        <v>973</v>
      </c>
      <c r="I36" t="s">
        <v>835</v>
      </c>
      <c r="K36">
        <v>88</v>
      </c>
      <c r="L36">
        <v>276098510133449</v>
      </c>
    </row>
    <row r="37" spans="2:12" ht="12.75">
      <c r="B37">
        <v>819</v>
      </c>
      <c r="C37" t="s">
        <v>974</v>
      </c>
      <c r="D37" t="s">
        <v>975</v>
      </c>
      <c r="E37" t="s">
        <v>886</v>
      </c>
      <c r="F37" t="s">
        <v>976</v>
      </c>
      <c r="G37" s="475" t="s">
        <v>977</v>
      </c>
      <c r="H37" s="475" t="s">
        <v>969</v>
      </c>
      <c r="I37" t="s">
        <v>835</v>
      </c>
      <c r="J37" t="s">
        <v>780</v>
      </c>
      <c r="K37">
        <v>95</v>
      </c>
      <c r="L37">
        <v>276093400110603</v>
      </c>
    </row>
    <row r="38" spans="1:12" ht="12.75">
      <c r="A38" t="s">
        <v>276</v>
      </c>
      <c r="B38">
        <v>841</v>
      </c>
      <c r="C38" t="s">
        <v>494</v>
      </c>
      <c r="D38" t="s">
        <v>103</v>
      </c>
      <c r="E38" t="s">
        <v>886</v>
      </c>
      <c r="F38" t="s">
        <v>495</v>
      </c>
      <c r="G38" s="475" t="s">
        <v>978</v>
      </c>
      <c r="H38" s="475" t="s">
        <v>979</v>
      </c>
      <c r="I38" t="s">
        <v>835</v>
      </c>
      <c r="J38" t="s">
        <v>496</v>
      </c>
      <c r="K38">
        <v>41</v>
      </c>
      <c r="L38">
        <v>941000001975447</v>
      </c>
    </row>
    <row r="39" spans="1:12" ht="15" customHeight="1">
      <c r="A39" t="s">
        <v>276</v>
      </c>
      <c r="B39">
        <v>843</v>
      </c>
      <c r="C39" t="s">
        <v>497</v>
      </c>
      <c r="D39" t="s">
        <v>498</v>
      </c>
      <c r="E39" t="s">
        <v>894</v>
      </c>
      <c r="F39" t="s">
        <v>269</v>
      </c>
      <c r="G39" s="475" t="s">
        <v>980</v>
      </c>
      <c r="H39" s="475" t="s">
        <v>981</v>
      </c>
      <c r="I39">
        <v>3206</v>
      </c>
      <c r="J39" t="s">
        <v>499</v>
      </c>
      <c r="K39">
        <v>41</v>
      </c>
      <c r="L39">
        <v>276096900211863</v>
      </c>
    </row>
    <row r="40" spans="2:12" ht="15" customHeight="1">
      <c r="B40">
        <v>844</v>
      </c>
      <c r="C40" t="s">
        <v>141</v>
      </c>
      <c r="D40" t="s">
        <v>131</v>
      </c>
      <c r="E40" t="s">
        <v>894</v>
      </c>
      <c r="F40" t="s">
        <v>187</v>
      </c>
      <c r="G40" s="475" t="s">
        <v>982</v>
      </c>
      <c r="H40" s="475" t="s">
        <v>983</v>
      </c>
      <c r="I40">
        <v>3607</v>
      </c>
      <c r="J40" t="s">
        <v>500</v>
      </c>
      <c r="K40">
        <v>44</v>
      </c>
      <c r="L40">
        <v>276097200702425</v>
      </c>
    </row>
    <row r="41" spans="2:12" ht="15" customHeight="1">
      <c r="B41">
        <v>854</v>
      </c>
      <c r="C41" t="s">
        <v>503</v>
      </c>
      <c r="D41" t="s">
        <v>266</v>
      </c>
      <c r="E41" t="s">
        <v>886</v>
      </c>
      <c r="F41" t="s">
        <v>221</v>
      </c>
      <c r="G41" s="475" t="s">
        <v>984</v>
      </c>
      <c r="H41" s="475" t="s">
        <v>985</v>
      </c>
      <c r="I41" t="s">
        <v>835</v>
      </c>
      <c r="J41" t="s">
        <v>504</v>
      </c>
      <c r="K41">
        <v>0</v>
      </c>
      <c r="L41">
        <v>945000000479538</v>
      </c>
    </row>
    <row r="42" spans="2:12" ht="15" customHeight="1">
      <c r="B42">
        <v>868</v>
      </c>
      <c r="C42" t="s">
        <v>986</v>
      </c>
      <c r="D42" t="s">
        <v>628</v>
      </c>
      <c r="E42" t="s">
        <v>894</v>
      </c>
      <c r="F42" t="s">
        <v>638</v>
      </c>
      <c r="G42" s="475" t="s">
        <v>987</v>
      </c>
      <c r="H42" s="475" t="s">
        <v>988</v>
      </c>
      <c r="I42">
        <v>531</v>
      </c>
      <c r="J42" t="s">
        <v>989</v>
      </c>
      <c r="K42">
        <v>25</v>
      </c>
      <c r="L42">
        <v>276098104609658</v>
      </c>
    </row>
    <row r="43" spans="1:12" ht="12.75">
      <c r="A43" t="s">
        <v>512</v>
      </c>
      <c r="B43">
        <v>874</v>
      </c>
      <c r="C43" t="s">
        <v>513</v>
      </c>
      <c r="D43" t="s">
        <v>224</v>
      </c>
      <c r="E43" t="s">
        <v>886</v>
      </c>
      <c r="F43" t="s">
        <v>514</v>
      </c>
      <c r="G43" s="475" t="s">
        <v>990</v>
      </c>
      <c r="H43" s="475" t="s">
        <v>991</v>
      </c>
      <c r="I43" t="s">
        <v>835</v>
      </c>
      <c r="L43">
        <v>276098102132414</v>
      </c>
    </row>
    <row r="44" spans="2:12" ht="12.75">
      <c r="B44">
        <v>885</v>
      </c>
      <c r="C44" t="s">
        <v>517</v>
      </c>
      <c r="D44" t="s">
        <v>191</v>
      </c>
      <c r="E44" t="s">
        <v>928</v>
      </c>
      <c r="F44" t="s">
        <v>548</v>
      </c>
      <c r="G44" s="475" t="s">
        <v>992</v>
      </c>
      <c r="H44" s="475" t="s">
        <v>993</v>
      </c>
      <c r="I44">
        <v>3302</v>
      </c>
      <c r="J44" t="s">
        <v>549</v>
      </c>
      <c r="K44">
        <v>43</v>
      </c>
      <c r="L44">
        <v>276097202460794</v>
      </c>
    </row>
    <row r="45" spans="2:12" ht="15" customHeight="1">
      <c r="B45">
        <v>903</v>
      </c>
      <c r="C45" t="s">
        <v>524</v>
      </c>
      <c r="D45" t="s">
        <v>175</v>
      </c>
      <c r="E45" t="s">
        <v>886</v>
      </c>
      <c r="F45" t="s">
        <v>176</v>
      </c>
      <c r="G45" s="475" t="s">
        <v>994</v>
      </c>
      <c r="H45" s="475" t="s">
        <v>995</v>
      </c>
      <c r="I45" t="s">
        <v>835</v>
      </c>
      <c r="J45" t="s">
        <v>177</v>
      </c>
      <c r="K45">
        <v>88</v>
      </c>
      <c r="L45">
        <v>276098102435216</v>
      </c>
    </row>
    <row r="46" spans="2:12" ht="15" customHeight="1">
      <c r="B46">
        <v>905</v>
      </c>
      <c r="C46" t="s">
        <v>520</v>
      </c>
      <c r="D46" t="s">
        <v>229</v>
      </c>
      <c r="E46" t="s">
        <v>923</v>
      </c>
      <c r="F46" t="s">
        <v>525</v>
      </c>
      <c r="G46" s="475" t="s">
        <v>996</v>
      </c>
      <c r="H46" s="475" t="s">
        <v>997</v>
      </c>
      <c r="I46">
        <v>7201</v>
      </c>
      <c r="J46" t="s">
        <v>526</v>
      </c>
      <c r="K46">
        <v>65</v>
      </c>
      <c r="L46">
        <v>276098102760198</v>
      </c>
    </row>
    <row r="47" spans="1:12" ht="15" customHeight="1">
      <c r="A47" t="s">
        <v>287</v>
      </c>
      <c r="B47">
        <v>909</v>
      </c>
      <c r="C47" t="s">
        <v>529</v>
      </c>
      <c r="D47" t="s">
        <v>103</v>
      </c>
      <c r="E47" t="s">
        <v>886</v>
      </c>
      <c r="F47" t="s">
        <v>263</v>
      </c>
      <c r="G47" s="475" t="s">
        <v>998</v>
      </c>
      <c r="H47" s="475" t="s">
        <v>999</v>
      </c>
      <c r="I47" t="s">
        <v>835</v>
      </c>
      <c r="L47">
        <v>276097200765772</v>
      </c>
    </row>
    <row r="48" spans="1:12" ht="15" customHeight="1">
      <c r="A48" t="s">
        <v>287</v>
      </c>
      <c r="B48">
        <v>910</v>
      </c>
      <c r="C48" t="s">
        <v>408</v>
      </c>
      <c r="D48" t="s">
        <v>530</v>
      </c>
      <c r="E48" t="s">
        <v>928</v>
      </c>
      <c r="F48" t="s">
        <v>286</v>
      </c>
      <c r="G48" s="475" t="s">
        <v>1000</v>
      </c>
      <c r="H48" s="475" t="s">
        <v>1001</v>
      </c>
      <c r="I48">
        <v>2306</v>
      </c>
      <c r="J48" t="s">
        <v>531</v>
      </c>
      <c r="L48">
        <v>276097200863350</v>
      </c>
    </row>
    <row r="49" spans="2:12" ht="15" customHeight="1">
      <c r="B49">
        <v>913</v>
      </c>
      <c r="C49" t="s">
        <v>532</v>
      </c>
      <c r="D49" t="s">
        <v>131</v>
      </c>
      <c r="E49" t="s">
        <v>894</v>
      </c>
      <c r="F49" t="s">
        <v>412</v>
      </c>
      <c r="G49" s="475" t="s">
        <v>1002</v>
      </c>
      <c r="H49" s="475" t="s">
        <v>1003</v>
      </c>
      <c r="I49">
        <v>5504</v>
      </c>
      <c r="J49" t="s">
        <v>533</v>
      </c>
      <c r="K49">
        <v>103</v>
      </c>
      <c r="L49">
        <v>941000001940338</v>
      </c>
    </row>
    <row r="50" spans="1:12" ht="15" customHeight="1">
      <c r="A50" t="s">
        <v>534</v>
      </c>
      <c r="B50">
        <v>918</v>
      </c>
      <c r="C50" t="s">
        <v>536</v>
      </c>
      <c r="D50" t="s">
        <v>224</v>
      </c>
      <c r="E50" t="s">
        <v>886</v>
      </c>
      <c r="F50" t="s">
        <v>286</v>
      </c>
      <c r="G50" s="475" t="s">
        <v>1004</v>
      </c>
      <c r="H50" s="475" t="s">
        <v>1005</v>
      </c>
      <c r="I50" t="s">
        <v>835</v>
      </c>
      <c r="J50" t="s">
        <v>537</v>
      </c>
      <c r="L50">
        <v>276098102354233</v>
      </c>
    </row>
    <row r="51" spans="1:12" ht="12.75">
      <c r="A51" t="s">
        <v>539</v>
      </c>
      <c r="B51">
        <v>924</v>
      </c>
      <c r="C51" t="s">
        <v>323</v>
      </c>
      <c r="D51" t="s">
        <v>131</v>
      </c>
      <c r="E51" t="s">
        <v>931</v>
      </c>
      <c r="F51" t="s">
        <v>669</v>
      </c>
      <c r="G51" s="475" t="s">
        <v>1006</v>
      </c>
      <c r="H51" s="475" t="s">
        <v>1007</v>
      </c>
      <c r="I51">
        <v>6005</v>
      </c>
      <c r="J51" t="s">
        <v>542</v>
      </c>
      <c r="K51">
        <v>107</v>
      </c>
      <c r="L51">
        <v>276098102442064</v>
      </c>
    </row>
    <row r="52" spans="2:12" ht="12.75">
      <c r="B52">
        <v>926</v>
      </c>
      <c r="C52" t="s">
        <v>1008</v>
      </c>
      <c r="D52" t="s">
        <v>244</v>
      </c>
      <c r="E52" t="s">
        <v>886</v>
      </c>
      <c r="F52" t="s">
        <v>1009</v>
      </c>
      <c r="G52" s="475" t="s">
        <v>1010</v>
      </c>
      <c r="H52" s="475" t="s">
        <v>1011</v>
      </c>
      <c r="I52" t="s">
        <v>835</v>
      </c>
      <c r="J52" t="s">
        <v>1012</v>
      </c>
      <c r="K52">
        <v>32</v>
      </c>
      <c r="L52">
        <v>939000010190562</v>
      </c>
    </row>
    <row r="53" spans="2:12" ht="12.75">
      <c r="B53">
        <v>928</v>
      </c>
      <c r="C53" t="s">
        <v>544</v>
      </c>
      <c r="D53" t="s">
        <v>103</v>
      </c>
      <c r="E53" t="s">
        <v>886</v>
      </c>
      <c r="F53" t="s">
        <v>545</v>
      </c>
      <c r="G53" s="475" t="s">
        <v>1013</v>
      </c>
      <c r="H53" s="475" t="s">
        <v>971</v>
      </c>
      <c r="I53" t="s">
        <v>835</v>
      </c>
      <c r="J53" t="s">
        <v>546</v>
      </c>
      <c r="K53">
        <v>33</v>
      </c>
      <c r="L53">
        <v>276098102197688</v>
      </c>
    </row>
    <row r="54" spans="2:12" ht="15" customHeight="1">
      <c r="B54">
        <v>930</v>
      </c>
      <c r="C54" t="s">
        <v>428</v>
      </c>
      <c r="D54" t="s">
        <v>191</v>
      </c>
      <c r="E54" t="s">
        <v>931</v>
      </c>
      <c r="F54" t="s">
        <v>550</v>
      </c>
      <c r="G54" s="475" t="s">
        <v>1014</v>
      </c>
      <c r="H54" s="475" t="s">
        <v>993</v>
      </c>
      <c r="I54">
        <v>3306</v>
      </c>
      <c r="J54" t="s">
        <v>549</v>
      </c>
      <c r="K54">
        <v>43</v>
      </c>
      <c r="L54">
        <v>276097202461857</v>
      </c>
    </row>
    <row r="55" spans="1:12" ht="15" customHeight="1">
      <c r="A55" t="s">
        <v>519</v>
      </c>
      <c r="B55">
        <v>933</v>
      </c>
      <c r="C55" t="s">
        <v>416</v>
      </c>
      <c r="D55" t="s">
        <v>1015</v>
      </c>
      <c r="E55" t="s">
        <v>914</v>
      </c>
      <c r="F55" t="s">
        <v>434</v>
      </c>
      <c r="G55" s="475" t="s">
        <v>1016</v>
      </c>
      <c r="H55" s="475" t="s">
        <v>1017</v>
      </c>
      <c r="I55">
        <v>807</v>
      </c>
      <c r="J55" t="s">
        <v>1018</v>
      </c>
      <c r="L55">
        <v>276098100898258</v>
      </c>
    </row>
    <row r="56" spans="2:12" ht="12.75">
      <c r="B56">
        <v>949</v>
      </c>
      <c r="C56" t="s">
        <v>461</v>
      </c>
      <c r="D56" t="s">
        <v>462</v>
      </c>
      <c r="E56" t="s">
        <v>894</v>
      </c>
      <c r="F56" t="s">
        <v>381</v>
      </c>
      <c r="G56" s="475" t="s">
        <v>1019</v>
      </c>
      <c r="H56" s="475" t="s">
        <v>1020</v>
      </c>
      <c r="I56">
        <v>1502</v>
      </c>
      <c r="J56" t="s">
        <v>382</v>
      </c>
      <c r="K56">
        <v>70</v>
      </c>
      <c r="L56">
        <v>941000001930129</v>
      </c>
    </row>
    <row r="57" spans="2:12" ht="15" customHeight="1">
      <c r="B57">
        <v>972</v>
      </c>
      <c r="C57" t="s">
        <v>302</v>
      </c>
      <c r="D57" t="s">
        <v>266</v>
      </c>
      <c r="E57" t="s">
        <v>886</v>
      </c>
      <c r="F57" t="s">
        <v>281</v>
      </c>
      <c r="G57" s="475" t="s">
        <v>1021</v>
      </c>
      <c r="H57" s="475" t="s">
        <v>1022</v>
      </c>
      <c r="I57" t="s">
        <v>835</v>
      </c>
      <c r="J57" t="s">
        <v>560</v>
      </c>
      <c r="K57">
        <v>32</v>
      </c>
      <c r="L57">
        <v>276096100154158</v>
      </c>
    </row>
    <row r="58" spans="2:12" ht="15" customHeight="1">
      <c r="B58">
        <v>995</v>
      </c>
      <c r="C58" t="s">
        <v>308</v>
      </c>
      <c r="D58" t="s">
        <v>224</v>
      </c>
      <c r="E58" t="s">
        <v>886</v>
      </c>
      <c r="F58" t="s">
        <v>568</v>
      </c>
      <c r="G58" s="475" t="s">
        <v>1023</v>
      </c>
      <c r="H58" s="475" t="s">
        <v>1024</v>
      </c>
      <c r="I58" t="s">
        <v>835</v>
      </c>
      <c r="J58" t="s">
        <v>560</v>
      </c>
      <c r="K58">
        <v>61</v>
      </c>
      <c r="L58">
        <v>276098102503191</v>
      </c>
    </row>
    <row r="59" spans="2:12" ht="12.75">
      <c r="B59">
        <v>1010</v>
      </c>
      <c r="C59" t="s">
        <v>155</v>
      </c>
      <c r="D59" t="s">
        <v>172</v>
      </c>
      <c r="E59" t="s">
        <v>886</v>
      </c>
      <c r="F59" t="s">
        <v>572</v>
      </c>
      <c r="G59" s="475" t="s">
        <v>1025</v>
      </c>
      <c r="H59" s="475" t="s">
        <v>1026</v>
      </c>
      <c r="I59" t="s">
        <v>835</v>
      </c>
      <c r="J59" t="s">
        <v>1027</v>
      </c>
      <c r="L59">
        <v>276098102571504</v>
      </c>
    </row>
    <row r="60" spans="2:12" ht="15" customHeight="1">
      <c r="B60">
        <v>1011</v>
      </c>
      <c r="C60" t="s">
        <v>571</v>
      </c>
      <c r="D60" t="s">
        <v>103</v>
      </c>
      <c r="E60" t="s">
        <v>886</v>
      </c>
      <c r="F60" t="s">
        <v>572</v>
      </c>
      <c r="G60" s="475" t="s">
        <v>1028</v>
      </c>
      <c r="H60" s="475" t="s">
        <v>1029</v>
      </c>
      <c r="I60" t="s">
        <v>835</v>
      </c>
      <c r="J60" t="s">
        <v>1027</v>
      </c>
      <c r="L60">
        <v>276096100259917</v>
      </c>
    </row>
    <row r="61" spans="2:12" ht="12.75">
      <c r="B61">
        <v>1019</v>
      </c>
      <c r="C61" t="s">
        <v>153</v>
      </c>
      <c r="D61" t="s">
        <v>103</v>
      </c>
      <c r="E61" t="s">
        <v>886</v>
      </c>
      <c r="F61" t="s">
        <v>1030</v>
      </c>
      <c r="G61" s="475" t="s">
        <v>891</v>
      </c>
      <c r="H61" s="475" t="s">
        <v>1031</v>
      </c>
      <c r="I61" t="s">
        <v>835</v>
      </c>
      <c r="L61">
        <v>276098104368990</v>
      </c>
    </row>
    <row r="62" spans="2:12" ht="15" customHeight="1">
      <c r="B62">
        <v>1020</v>
      </c>
      <c r="C62" t="s">
        <v>538</v>
      </c>
      <c r="D62" t="s">
        <v>123</v>
      </c>
      <c r="E62" t="s">
        <v>899</v>
      </c>
      <c r="F62" t="s">
        <v>563</v>
      </c>
      <c r="G62" s="475" t="s">
        <v>1032</v>
      </c>
      <c r="H62" s="475" t="s">
        <v>1033</v>
      </c>
      <c r="I62">
        <v>4302</v>
      </c>
      <c r="L62">
        <v>348789100075361</v>
      </c>
    </row>
    <row r="63" spans="2:12" ht="15" customHeight="1">
      <c r="B63">
        <v>1022</v>
      </c>
      <c r="C63" t="s">
        <v>1034</v>
      </c>
      <c r="D63" t="s">
        <v>103</v>
      </c>
      <c r="E63" t="s">
        <v>894</v>
      </c>
      <c r="F63" t="s">
        <v>414</v>
      </c>
      <c r="G63" s="475" t="s">
        <v>1035</v>
      </c>
      <c r="H63" s="475" t="s">
        <v>1036</v>
      </c>
      <c r="I63" t="s">
        <v>836</v>
      </c>
      <c r="L63">
        <v>276098104524877</v>
      </c>
    </row>
    <row r="64" spans="2:12" ht="12.75">
      <c r="B64">
        <v>1033</v>
      </c>
      <c r="C64" t="s">
        <v>114</v>
      </c>
      <c r="D64" t="s">
        <v>172</v>
      </c>
      <c r="E64" t="s">
        <v>903</v>
      </c>
      <c r="F64" t="s">
        <v>569</v>
      </c>
      <c r="G64" s="475" t="s">
        <v>1037</v>
      </c>
      <c r="H64" s="475" t="s">
        <v>1038</v>
      </c>
      <c r="I64">
        <v>5202</v>
      </c>
      <c r="J64" t="s">
        <v>576</v>
      </c>
      <c r="L64">
        <v>276097200736222</v>
      </c>
    </row>
    <row r="65" spans="2:12" ht="12.75">
      <c r="B65">
        <v>1035</v>
      </c>
      <c r="C65" t="s">
        <v>120</v>
      </c>
      <c r="D65" t="s">
        <v>424</v>
      </c>
      <c r="E65" t="s">
        <v>886</v>
      </c>
      <c r="F65" t="s">
        <v>225</v>
      </c>
      <c r="G65" s="475" t="s">
        <v>1039</v>
      </c>
      <c r="H65" s="475" t="s">
        <v>1040</v>
      </c>
      <c r="I65" t="s">
        <v>835</v>
      </c>
      <c r="J65" t="s">
        <v>579</v>
      </c>
      <c r="L65">
        <v>276098102426770</v>
      </c>
    </row>
    <row r="66" spans="2:12" ht="12.75">
      <c r="B66">
        <v>1036</v>
      </c>
      <c r="C66" t="s">
        <v>578</v>
      </c>
      <c r="D66" t="s">
        <v>172</v>
      </c>
      <c r="E66" t="s">
        <v>886</v>
      </c>
      <c r="F66" t="s">
        <v>562</v>
      </c>
      <c r="G66" s="475" t="s">
        <v>1039</v>
      </c>
      <c r="H66" s="475" t="s">
        <v>1041</v>
      </c>
      <c r="I66" t="s">
        <v>835</v>
      </c>
      <c r="J66" t="s">
        <v>577</v>
      </c>
      <c r="L66">
        <v>276096901017713</v>
      </c>
    </row>
    <row r="67" spans="2:12" ht="12.75">
      <c r="B67">
        <v>1039</v>
      </c>
      <c r="C67" t="s">
        <v>571</v>
      </c>
      <c r="D67" t="s">
        <v>126</v>
      </c>
      <c r="E67" t="s">
        <v>894</v>
      </c>
      <c r="F67" t="s">
        <v>1042</v>
      </c>
      <c r="G67" s="475" t="s">
        <v>1043</v>
      </c>
      <c r="H67" s="475" t="s">
        <v>1044</v>
      </c>
      <c r="I67">
        <v>7004</v>
      </c>
      <c r="J67" t="s">
        <v>1045</v>
      </c>
      <c r="L67">
        <v>276098102232518</v>
      </c>
    </row>
    <row r="68" spans="2:12" ht="12.75">
      <c r="B68">
        <v>1042</v>
      </c>
      <c r="C68" t="s">
        <v>582</v>
      </c>
      <c r="D68" t="s">
        <v>185</v>
      </c>
      <c r="E68" t="s">
        <v>886</v>
      </c>
      <c r="F68" t="s">
        <v>327</v>
      </c>
      <c r="G68" s="475" t="s">
        <v>1046</v>
      </c>
      <c r="H68" s="475" t="s">
        <v>1047</v>
      </c>
      <c r="I68" t="s">
        <v>835</v>
      </c>
      <c r="J68" t="s">
        <v>583</v>
      </c>
      <c r="L68">
        <v>276098102151766</v>
      </c>
    </row>
    <row r="69" spans="2:12" ht="12.75">
      <c r="B69">
        <v>1043</v>
      </c>
      <c r="C69" t="s">
        <v>501</v>
      </c>
      <c r="D69" t="s">
        <v>328</v>
      </c>
      <c r="E69" t="s">
        <v>886</v>
      </c>
      <c r="F69" t="s">
        <v>256</v>
      </c>
      <c r="G69" s="475" t="s">
        <v>1006</v>
      </c>
      <c r="H69" s="475" t="s">
        <v>1048</v>
      </c>
      <c r="I69" t="s">
        <v>835</v>
      </c>
      <c r="J69" t="s">
        <v>737</v>
      </c>
      <c r="L69">
        <v>276098102958034</v>
      </c>
    </row>
    <row r="70" spans="2:12" ht="12.75">
      <c r="B70">
        <v>1044</v>
      </c>
      <c r="C70" t="s">
        <v>584</v>
      </c>
      <c r="D70" t="s">
        <v>422</v>
      </c>
      <c r="E70" t="s">
        <v>923</v>
      </c>
      <c r="F70" t="s">
        <v>196</v>
      </c>
      <c r="G70" s="475" t="s">
        <v>1049</v>
      </c>
      <c r="H70" s="475" t="s">
        <v>1047</v>
      </c>
      <c r="I70">
        <v>7001</v>
      </c>
      <c r="J70" t="s">
        <v>583</v>
      </c>
      <c r="L70">
        <v>941000003111458</v>
      </c>
    </row>
    <row r="71" spans="2:10" ht="12.75">
      <c r="B71">
        <v>1045</v>
      </c>
      <c r="C71" t="s">
        <v>585</v>
      </c>
      <c r="D71" t="s">
        <v>126</v>
      </c>
      <c r="E71" t="s">
        <v>886</v>
      </c>
      <c r="F71" t="s">
        <v>409</v>
      </c>
      <c r="G71" s="475" t="s">
        <v>1050</v>
      </c>
      <c r="H71" s="475" t="s">
        <v>1007</v>
      </c>
      <c r="I71" t="s">
        <v>835</v>
      </c>
      <c r="J71" t="s">
        <v>575</v>
      </c>
    </row>
    <row r="72" spans="2:12" ht="15" customHeight="1">
      <c r="B72">
        <v>1049</v>
      </c>
      <c r="C72" t="s">
        <v>587</v>
      </c>
      <c r="D72" t="s">
        <v>126</v>
      </c>
      <c r="E72" t="s">
        <v>886</v>
      </c>
      <c r="F72" t="s">
        <v>767</v>
      </c>
      <c r="G72" s="475" t="s">
        <v>1051</v>
      </c>
      <c r="H72" s="475" t="s">
        <v>1052</v>
      </c>
      <c r="I72" t="s">
        <v>835</v>
      </c>
      <c r="J72" t="s">
        <v>1053</v>
      </c>
      <c r="L72">
        <v>276094180008160</v>
      </c>
    </row>
    <row r="73" spans="2:12" ht="15" customHeight="1">
      <c r="B73">
        <v>1053</v>
      </c>
      <c r="C73" t="s">
        <v>589</v>
      </c>
      <c r="D73" t="s">
        <v>126</v>
      </c>
      <c r="E73" t="s">
        <v>886</v>
      </c>
      <c r="F73" t="s">
        <v>281</v>
      </c>
      <c r="G73" s="475" t="s">
        <v>1054</v>
      </c>
      <c r="H73" s="475" t="s">
        <v>1055</v>
      </c>
      <c r="I73" t="s">
        <v>835</v>
      </c>
      <c r="J73" t="s">
        <v>637</v>
      </c>
      <c r="L73">
        <v>276093900005332</v>
      </c>
    </row>
    <row r="74" spans="2:12" ht="15" customHeight="1">
      <c r="B74">
        <v>1054</v>
      </c>
      <c r="C74" t="s">
        <v>151</v>
      </c>
      <c r="D74" t="s">
        <v>191</v>
      </c>
      <c r="E74" t="s">
        <v>931</v>
      </c>
      <c r="F74" t="s">
        <v>189</v>
      </c>
      <c r="G74" s="475" t="s">
        <v>940</v>
      </c>
      <c r="H74" s="475" t="s">
        <v>1056</v>
      </c>
      <c r="I74">
        <v>8103</v>
      </c>
      <c r="J74" t="s">
        <v>355</v>
      </c>
      <c r="L74">
        <v>276098510264984</v>
      </c>
    </row>
    <row r="75" spans="2:12" ht="15" customHeight="1">
      <c r="B75">
        <v>1056</v>
      </c>
      <c r="C75" t="s">
        <v>591</v>
      </c>
      <c r="D75" t="s">
        <v>592</v>
      </c>
      <c r="E75" t="s">
        <v>886</v>
      </c>
      <c r="F75" t="s">
        <v>117</v>
      </c>
      <c r="G75" s="475" t="s">
        <v>1057</v>
      </c>
      <c r="H75" s="475" t="s">
        <v>1058</v>
      </c>
      <c r="I75" t="s">
        <v>835</v>
      </c>
      <c r="J75" t="s">
        <v>593</v>
      </c>
      <c r="L75">
        <v>276098102323980</v>
      </c>
    </row>
    <row r="76" spans="2:12" ht="15" customHeight="1">
      <c r="B76">
        <v>1057</v>
      </c>
      <c r="C76" t="s">
        <v>223</v>
      </c>
      <c r="D76" t="s">
        <v>317</v>
      </c>
      <c r="E76" t="s">
        <v>903</v>
      </c>
      <c r="F76" t="s">
        <v>594</v>
      </c>
      <c r="G76" s="475" t="s">
        <v>1059</v>
      </c>
      <c r="H76" s="475" t="s">
        <v>1060</v>
      </c>
      <c r="I76">
        <v>8203</v>
      </c>
      <c r="J76" t="s">
        <v>315</v>
      </c>
      <c r="L76">
        <v>348098100148824</v>
      </c>
    </row>
    <row r="77" spans="2:12" ht="12.75">
      <c r="B77">
        <v>1066</v>
      </c>
      <c r="C77" t="s">
        <v>595</v>
      </c>
      <c r="D77" t="s">
        <v>185</v>
      </c>
      <c r="E77" t="s">
        <v>886</v>
      </c>
      <c r="F77" t="s">
        <v>562</v>
      </c>
      <c r="G77" s="475" t="s">
        <v>1061</v>
      </c>
      <c r="H77" s="475" t="s">
        <v>1062</v>
      </c>
      <c r="I77" t="s">
        <v>835</v>
      </c>
      <c r="J77" t="s">
        <v>596</v>
      </c>
      <c r="L77">
        <v>276096900323320</v>
      </c>
    </row>
    <row r="78" spans="2:12" ht="12.75">
      <c r="B78">
        <v>1068</v>
      </c>
      <c r="C78" t="s">
        <v>409</v>
      </c>
      <c r="D78" t="s">
        <v>191</v>
      </c>
      <c r="E78" t="s">
        <v>928</v>
      </c>
      <c r="F78" t="s">
        <v>547</v>
      </c>
      <c r="G78" s="475" t="s">
        <v>1063</v>
      </c>
      <c r="H78" s="475" t="s">
        <v>1064</v>
      </c>
      <c r="I78">
        <v>5503</v>
      </c>
      <c r="J78" t="s">
        <v>597</v>
      </c>
      <c r="L78">
        <v>276097200935906</v>
      </c>
    </row>
    <row r="79" spans="2:12" ht="12.75">
      <c r="B79">
        <v>1072</v>
      </c>
      <c r="C79" t="s">
        <v>114</v>
      </c>
      <c r="D79" t="s">
        <v>1065</v>
      </c>
      <c r="E79" t="s">
        <v>886</v>
      </c>
      <c r="F79" t="s">
        <v>599</v>
      </c>
      <c r="G79" s="475" t="s">
        <v>1066</v>
      </c>
      <c r="H79" s="475" t="s">
        <v>1067</v>
      </c>
      <c r="I79" t="s">
        <v>835</v>
      </c>
      <c r="J79" t="s">
        <v>600</v>
      </c>
      <c r="L79">
        <v>276098102233945</v>
      </c>
    </row>
    <row r="80" spans="2:12" ht="12.75">
      <c r="B80">
        <v>1085</v>
      </c>
      <c r="C80" t="s">
        <v>136</v>
      </c>
      <c r="D80" t="s">
        <v>103</v>
      </c>
      <c r="E80" t="s">
        <v>886</v>
      </c>
      <c r="F80" t="s">
        <v>604</v>
      </c>
      <c r="G80" s="475" t="s">
        <v>1043</v>
      </c>
      <c r="H80" s="475" t="s">
        <v>1068</v>
      </c>
      <c r="I80" t="s">
        <v>835</v>
      </c>
      <c r="J80" t="s">
        <v>605</v>
      </c>
      <c r="L80">
        <v>276097200473287</v>
      </c>
    </row>
    <row r="81" spans="2:12" ht="12.75">
      <c r="B81">
        <v>1088</v>
      </c>
      <c r="C81" t="s">
        <v>607</v>
      </c>
      <c r="D81" t="s">
        <v>185</v>
      </c>
      <c r="E81" t="s">
        <v>886</v>
      </c>
      <c r="F81" t="s">
        <v>275</v>
      </c>
      <c r="G81" s="475" t="s">
        <v>1069</v>
      </c>
      <c r="H81" s="475" t="s">
        <v>1070</v>
      </c>
      <c r="I81" t="s">
        <v>835</v>
      </c>
      <c r="J81" t="s">
        <v>1071</v>
      </c>
      <c r="L81">
        <v>968000004088135</v>
      </c>
    </row>
    <row r="82" spans="2:12" ht="12.75">
      <c r="B82">
        <v>1101</v>
      </c>
      <c r="C82" t="s">
        <v>612</v>
      </c>
      <c r="D82" t="s">
        <v>1072</v>
      </c>
      <c r="E82" t="s">
        <v>886</v>
      </c>
      <c r="F82" t="s">
        <v>1073</v>
      </c>
      <c r="G82" s="475" t="s">
        <v>1074</v>
      </c>
      <c r="H82" s="475" t="s">
        <v>1075</v>
      </c>
      <c r="I82">
        <v>7005</v>
      </c>
      <c r="J82" t="s">
        <v>613</v>
      </c>
      <c r="L82">
        <v>276094190014577</v>
      </c>
    </row>
    <row r="83" spans="2:12" ht="12.75">
      <c r="B83">
        <v>1102</v>
      </c>
      <c r="C83" t="s">
        <v>390</v>
      </c>
      <c r="D83" t="s">
        <v>1076</v>
      </c>
      <c r="E83" t="s">
        <v>894</v>
      </c>
      <c r="F83" t="s">
        <v>1073</v>
      </c>
      <c r="G83" s="475" t="s">
        <v>1077</v>
      </c>
      <c r="H83" s="475" t="s">
        <v>1075</v>
      </c>
      <c r="I83">
        <v>7006</v>
      </c>
      <c r="J83" t="s">
        <v>613</v>
      </c>
      <c r="L83">
        <v>938000000086382</v>
      </c>
    </row>
    <row r="84" spans="2:12" ht="12.75">
      <c r="B84">
        <v>1105</v>
      </c>
      <c r="C84" t="s">
        <v>615</v>
      </c>
      <c r="D84" t="s">
        <v>126</v>
      </c>
      <c r="E84" t="s">
        <v>886</v>
      </c>
      <c r="F84" t="s">
        <v>616</v>
      </c>
      <c r="G84" s="475" t="s">
        <v>1078</v>
      </c>
      <c r="H84" s="475" t="s">
        <v>1079</v>
      </c>
      <c r="I84" t="s">
        <v>835</v>
      </c>
      <c r="J84" t="s">
        <v>617</v>
      </c>
      <c r="L84">
        <v>276098102434400</v>
      </c>
    </row>
    <row r="85" spans="2:12" ht="12.75">
      <c r="B85">
        <v>1122</v>
      </c>
      <c r="C85" t="s">
        <v>623</v>
      </c>
      <c r="D85" t="s">
        <v>126</v>
      </c>
      <c r="E85" t="s">
        <v>886</v>
      </c>
      <c r="F85" t="s">
        <v>624</v>
      </c>
      <c r="G85" s="475" t="s">
        <v>1080</v>
      </c>
      <c r="H85" s="475" t="s">
        <v>1081</v>
      </c>
      <c r="I85" t="s">
        <v>835</v>
      </c>
      <c r="L85">
        <v>276098510253222</v>
      </c>
    </row>
    <row r="86" spans="2:12" ht="12.75">
      <c r="B86">
        <v>1130</v>
      </c>
      <c r="C86" t="s">
        <v>627</v>
      </c>
      <c r="D86" t="s">
        <v>561</v>
      </c>
      <c r="E86" t="s">
        <v>923</v>
      </c>
      <c r="F86" t="s">
        <v>335</v>
      </c>
      <c r="G86" s="475" t="s">
        <v>1082</v>
      </c>
      <c r="H86" s="475" t="s">
        <v>1083</v>
      </c>
      <c r="I86">
        <v>512</v>
      </c>
      <c r="J86" t="s">
        <v>336</v>
      </c>
      <c r="L86">
        <v>276098102683107</v>
      </c>
    </row>
    <row r="87" spans="2:12" ht="12.75">
      <c r="B87">
        <v>1134</v>
      </c>
      <c r="C87" t="s">
        <v>104</v>
      </c>
      <c r="D87" t="s">
        <v>126</v>
      </c>
      <c r="E87" t="s">
        <v>886</v>
      </c>
      <c r="F87" t="s">
        <v>518</v>
      </c>
      <c r="G87" s="475" t="s">
        <v>1084</v>
      </c>
      <c r="H87" s="475" t="s">
        <v>939</v>
      </c>
      <c r="I87" t="s">
        <v>835</v>
      </c>
      <c r="J87" t="s">
        <v>629</v>
      </c>
      <c r="L87">
        <v>276094180003253</v>
      </c>
    </row>
    <row r="88" spans="2:12" ht="12.75">
      <c r="B88">
        <v>1137</v>
      </c>
      <c r="C88" t="s">
        <v>124</v>
      </c>
      <c r="D88" t="s">
        <v>1085</v>
      </c>
      <c r="E88" t="s">
        <v>886</v>
      </c>
      <c r="F88" t="s">
        <v>599</v>
      </c>
      <c r="G88" s="475" t="s">
        <v>1086</v>
      </c>
      <c r="H88" s="475" t="s">
        <v>1067</v>
      </c>
      <c r="I88" t="s">
        <v>835</v>
      </c>
      <c r="J88" t="s">
        <v>600</v>
      </c>
      <c r="L88">
        <v>953000005218677</v>
      </c>
    </row>
    <row r="89" spans="2:12" ht="12.75">
      <c r="B89">
        <v>1152</v>
      </c>
      <c r="C89" t="s">
        <v>631</v>
      </c>
      <c r="D89" t="s">
        <v>567</v>
      </c>
      <c r="E89" t="s">
        <v>886</v>
      </c>
      <c r="F89" t="s">
        <v>430</v>
      </c>
      <c r="G89" s="475" t="s">
        <v>915</v>
      </c>
      <c r="H89" s="475" t="s">
        <v>1087</v>
      </c>
      <c r="I89" t="s">
        <v>835</v>
      </c>
      <c r="J89" t="s">
        <v>603</v>
      </c>
      <c r="L89">
        <v>276097200967979</v>
      </c>
    </row>
    <row r="90" spans="2:12" ht="12.75">
      <c r="B90">
        <v>1161</v>
      </c>
      <c r="C90" t="s">
        <v>635</v>
      </c>
      <c r="D90" t="s">
        <v>126</v>
      </c>
      <c r="E90" t="s">
        <v>886</v>
      </c>
      <c r="F90" t="s">
        <v>1088</v>
      </c>
      <c r="G90" s="475" t="s">
        <v>1089</v>
      </c>
      <c r="H90" s="475" t="s">
        <v>1090</v>
      </c>
      <c r="I90" t="s">
        <v>835</v>
      </c>
      <c r="J90" t="s">
        <v>262</v>
      </c>
      <c r="L90">
        <v>276098102516826</v>
      </c>
    </row>
    <row r="91" spans="2:12" ht="12.75">
      <c r="B91">
        <v>1171</v>
      </c>
      <c r="C91" t="s">
        <v>558</v>
      </c>
      <c r="D91" t="s">
        <v>126</v>
      </c>
      <c r="E91" t="s">
        <v>886</v>
      </c>
      <c r="F91" t="s">
        <v>286</v>
      </c>
      <c r="G91" s="475" t="s">
        <v>1091</v>
      </c>
      <c r="H91" s="475" t="s">
        <v>1092</v>
      </c>
      <c r="I91" t="s">
        <v>835</v>
      </c>
      <c r="J91" t="s">
        <v>1093</v>
      </c>
      <c r="L91">
        <v>276096900338268</v>
      </c>
    </row>
    <row r="92" spans="2:12" ht="12.75">
      <c r="B92">
        <v>1175</v>
      </c>
      <c r="C92" t="s">
        <v>371</v>
      </c>
      <c r="D92" t="s">
        <v>103</v>
      </c>
      <c r="E92" t="s">
        <v>886</v>
      </c>
      <c r="F92" t="s">
        <v>218</v>
      </c>
      <c r="G92" s="475" t="s">
        <v>1094</v>
      </c>
      <c r="H92" s="475" t="s">
        <v>1095</v>
      </c>
      <c r="I92" t="s">
        <v>835</v>
      </c>
      <c r="J92" t="s">
        <v>641</v>
      </c>
      <c r="L92">
        <v>276096909013932</v>
      </c>
    </row>
    <row r="93" spans="2:12" ht="15" customHeight="1">
      <c r="B93">
        <v>1179</v>
      </c>
      <c r="C93" t="s">
        <v>588</v>
      </c>
      <c r="D93" t="s">
        <v>126</v>
      </c>
      <c r="E93" t="s">
        <v>886</v>
      </c>
      <c r="F93" t="s">
        <v>410</v>
      </c>
      <c r="G93" s="475" t="s">
        <v>1096</v>
      </c>
      <c r="H93" s="475" t="s">
        <v>1097</v>
      </c>
      <c r="I93" t="s">
        <v>835</v>
      </c>
      <c r="J93" t="s">
        <v>672</v>
      </c>
      <c r="L93">
        <v>276097200897137</v>
      </c>
    </row>
    <row r="94" spans="2:12" ht="15" customHeight="1">
      <c r="B94">
        <v>1197</v>
      </c>
      <c r="C94" t="s">
        <v>646</v>
      </c>
      <c r="D94" t="s">
        <v>266</v>
      </c>
      <c r="E94" t="s">
        <v>886</v>
      </c>
      <c r="F94" t="s">
        <v>176</v>
      </c>
      <c r="G94" s="475" t="s">
        <v>1098</v>
      </c>
      <c r="H94" s="475" t="s">
        <v>1099</v>
      </c>
      <c r="I94" t="s">
        <v>835</v>
      </c>
      <c r="L94">
        <v>276098102188829</v>
      </c>
    </row>
    <row r="95" spans="2:12" ht="12.75">
      <c r="B95">
        <v>1200</v>
      </c>
      <c r="C95" t="s">
        <v>323</v>
      </c>
      <c r="D95" t="s">
        <v>224</v>
      </c>
      <c r="E95" t="s">
        <v>886</v>
      </c>
      <c r="F95" t="s">
        <v>647</v>
      </c>
      <c r="G95" s="475" t="s">
        <v>1100</v>
      </c>
      <c r="H95" s="475" t="s">
        <v>1101</v>
      </c>
      <c r="I95" t="s">
        <v>835</v>
      </c>
      <c r="J95" t="s">
        <v>637</v>
      </c>
      <c r="L95">
        <v>276098102373461</v>
      </c>
    </row>
    <row r="96" spans="2:12" ht="15" customHeight="1">
      <c r="B96">
        <v>1203</v>
      </c>
      <c r="C96" t="s">
        <v>226</v>
      </c>
      <c r="D96" t="s">
        <v>103</v>
      </c>
      <c r="E96" t="s">
        <v>899</v>
      </c>
      <c r="F96" t="s">
        <v>263</v>
      </c>
      <c r="G96" s="475" t="s">
        <v>1102</v>
      </c>
      <c r="H96" s="475" t="s">
        <v>1103</v>
      </c>
      <c r="I96">
        <v>1304</v>
      </c>
      <c r="J96" t="s">
        <v>649</v>
      </c>
      <c r="L96">
        <v>276098102496335</v>
      </c>
    </row>
    <row r="97" spans="2:12" ht="12.75">
      <c r="B97">
        <v>1226</v>
      </c>
      <c r="C97" t="s">
        <v>114</v>
      </c>
      <c r="D97" t="s">
        <v>214</v>
      </c>
      <c r="E97" t="s">
        <v>886</v>
      </c>
      <c r="F97" t="s">
        <v>211</v>
      </c>
      <c r="G97" s="475" t="s">
        <v>992</v>
      </c>
      <c r="H97" s="475" t="s">
        <v>1104</v>
      </c>
      <c r="I97" t="s">
        <v>835</v>
      </c>
      <c r="J97" t="s">
        <v>652</v>
      </c>
      <c r="L97">
        <v>276098102296740</v>
      </c>
    </row>
    <row r="98" spans="2:12" ht="12.75">
      <c r="B98">
        <v>1237</v>
      </c>
      <c r="C98" t="s">
        <v>285</v>
      </c>
      <c r="D98" t="s">
        <v>131</v>
      </c>
      <c r="E98" t="s">
        <v>894</v>
      </c>
      <c r="F98" t="s">
        <v>657</v>
      </c>
      <c r="G98" s="475" t="s">
        <v>1105</v>
      </c>
      <c r="H98" s="475" t="s">
        <v>1106</v>
      </c>
      <c r="I98">
        <v>6006</v>
      </c>
      <c r="J98" t="s">
        <v>658</v>
      </c>
      <c r="L98">
        <v>276094100145574</v>
      </c>
    </row>
    <row r="99" spans="2:12" ht="12.75">
      <c r="B99">
        <v>1248</v>
      </c>
      <c r="C99" t="s">
        <v>371</v>
      </c>
      <c r="D99" t="s">
        <v>266</v>
      </c>
      <c r="E99" t="s">
        <v>886</v>
      </c>
      <c r="F99" t="s">
        <v>348</v>
      </c>
      <c r="G99" s="475" t="s">
        <v>1107</v>
      </c>
      <c r="H99" s="475" t="s">
        <v>1062</v>
      </c>
      <c r="I99" t="s">
        <v>835</v>
      </c>
      <c r="J99" t="s">
        <v>604</v>
      </c>
      <c r="L99">
        <v>945000000230213</v>
      </c>
    </row>
    <row r="100" spans="2:12" ht="15" customHeight="1">
      <c r="B100">
        <v>1251</v>
      </c>
      <c r="C100" t="s">
        <v>1108</v>
      </c>
      <c r="D100" t="s">
        <v>521</v>
      </c>
      <c r="E100" t="s">
        <v>928</v>
      </c>
      <c r="F100" t="s">
        <v>569</v>
      </c>
      <c r="G100" s="475" t="s">
        <v>1109</v>
      </c>
      <c r="H100" s="475" t="s">
        <v>1110</v>
      </c>
      <c r="I100">
        <v>8001</v>
      </c>
      <c r="J100" t="s">
        <v>1111</v>
      </c>
      <c r="L100">
        <v>276098510206043</v>
      </c>
    </row>
    <row r="101" spans="2:12" ht="12.75">
      <c r="B101">
        <v>1253</v>
      </c>
      <c r="C101" t="s">
        <v>121</v>
      </c>
      <c r="D101" t="s">
        <v>172</v>
      </c>
      <c r="E101" t="s">
        <v>894</v>
      </c>
      <c r="F101" t="s">
        <v>225</v>
      </c>
      <c r="G101" s="475" t="s">
        <v>1112</v>
      </c>
      <c r="H101" s="475" t="s">
        <v>1113</v>
      </c>
      <c r="I101">
        <v>8002</v>
      </c>
      <c r="J101" t="s">
        <v>663</v>
      </c>
      <c r="L101">
        <v>27609600208433</v>
      </c>
    </row>
    <row r="102" spans="2:12" ht="12.75">
      <c r="B102">
        <v>1262</v>
      </c>
      <c r="C102" t="s">
        <v>665</v>
      </c>
      <c r="D102" t="s">
        <v>123</v>
      </c>
      <c r="E102" t="s">
        <v>894</v>
      </c>
      <c r="F102" t="s">
        <v>307</v>
      </c>
      <c r="G102" s="475" t="s">
        <v>1114</v>
      </c>
      <c r="H102" s="475" t="s">
        <v>1115</v>
      </c>
      <c r="I102">
        <v>1504</v>
      </c>
      <c r="J102" t="s">
        <v>666</v>
      </c>
      <c r="L102">
        <v>276094180011174</v>
      </c>
    </row>
    <row r="103" spans="2:12" ht="15" customHeight="1">
      <c r="B103">
        <v>1265</v>
      </c>
      <c r="C103" t="s">
        <v>371</v>
      </c>
      <c r="D103" t="s">
        <v>103</v>
      </c>
      <c r="E103" t="s">
        <v>886</v>
      </c>
      <c r="F103" t="s">
        <v>343</v>
      </c>
      <c r="G103" s="475" t="s">
        <v>1116</v>
      </c>
      <c r="H103" s="475" t="s">
        <v>1117</v>
      </c>
      <c r="I103" t="s">
        <v>835</v>
      </c>
      <c r="J103" t="s">
        <v>667</v>
      </c>
      <c r="L103">
        <v>276098104211278</v>
      </c>
    </row>
    <row r="104" spans="2:12" ht="15" customHeight="1">
      <c r="B104">
        <v>1268</v>
      </c>
      <c r="C104" t="s">
        <v>668</v>
      </c>
      <c r="D104" t="s">
        <v>103</v>
      </c>
      <c r="E104" t="s">
        <v>886</v>
      </c>
      <c r="F104" t="s">
        <v>669</v>
      </c>
      <c r="G104" s="475" t="s">
        <v>1118</v>
      </c>
      <c r="H104" s="475" t="s">
        <v>1060</v>
      </c>
      <c r="I104" t="s">
        <v>835</v>
      </c>
      <c r="J104" t="s">
        <v>542</v>
      </c>
      <c r="L104">
        <v>276098104033704</v>
      </c>
    </row>
    <row r="105" spans="2:12" ht="15" customHeight="1">
      <c r="B105">
        <v>1273</v>
      </c>
      <c r="C105" t="s">
        <v>671</v>
      </c>
      <c r="D105" t="s">
        <v>131</v>
      </c>
      <c r="E105" t="s">
        <v>894</v>
      </c>
      <c r="F105" t="s">
        <v>410</v>
      </c>
      <c r="G105" s="475" t="s">
        <v>1119</v>
      </c>
      <c r="H105" s="475" t="s">
        <v>1120</v>
      </c>
      <c r="I105">
        <v>3309</v>
      </c>
      <c r="J105" t="s">
        <v>672</v>
      </c>
      <c r="L105">
        <v>276098102415809</v>
      </c>
    </row>
    <row r="106" spans="2:12" ht="12.75">
      <c r="B106">
        <v>1274</v>
      </c>
      <c r="C106" t="s">
        <v>153</v>
      </c>
      <c r="D106" t="s">
        <v>140</v>
      </c>
      <c r="E106" t="s">
        <v>928</v>
      </c>
      <c r="F106" t="s">
        <v>383</v>
      </c>
      <c r="G106" s="475" t="s">
        <v>1121</v>
      </c>
      <c r="H106" s="475" t="s">
        <v>1122</v>
      </c>
      <c r="I106">
        <v>3313</v>
      </c>
      <c r="J106" t="s">
        <v>673</v>
      </c>
      <c r="L106">
        <v>276097201009994</v>
      </c>
    </row>
    <row r="107" spans="2:12" ht="12.75">
      <c r="B107">
        <v>1277</v>
      </c>
      <c r="C107" t="s">
        <v>158</v>
      </c>
      <c r="D107" t="s">
        <v>126</v>
      </c>
      <c r="E107" t="s">
        <v>894</v>
      </c>
      <c r="F107" t="s">
        <v>135</v>
      </c>
      <c r="G107" s="475" t="s">
        <v>1123</v>
      </c>
      <c r="H107" s="475" t="s">
        <v>973</v>
      </c>
      <c r="I107">
        <v>427</v>
      </c>
      <c r="L107">
        <v>276098102890078</v>
      </c>
    </row>
    <row r="108" spans="2:12" ht="15" customHeight="1">
      <c r="B108">
        <v>1279</v>
      </c>
      <c r="C108" t="s">
        <v>350</v>
      </c>
      <c r="D108" t="s">
        <v>131</v>
      </c>
      <c r="E108" t="s">
        <v>886</v>
      </c>
      <c r="F108" t="s">
        <v>251</v>
      </c>
      <c r="G108" s="475" t="s">
        <v>1124</v>
      </c>
      <c r="H108" s="475" t="s">
        <v>1125</v>
      </c>
      <c r="I108" t="s">
        <v>835</v>
      </c>
      <c r="J108" t="s">
        <v>676</v>
      </c>
      <c r="L108">
        <v>276096900244118</v>
      </c>
    </row>
    <row r="109" spans="2:12" ht="12.75">
      <c r="B109">
        <v>1282</v>
      </c>
      <c r="C109" t="s">
        <v>679</v>
      </c>
      <c r="D109" t="s">
        <v>126</v>
      </c>
      <c r="E109" t="s">
        <v>886</v>
      </c>
      <c r="F109" t="s">
        <v>275</v>
      </c>
      <c r="G109" s="475" t="s">
        <v>1126</v>
      </c>
      <c r="H109" s="475" t="s">
        <v>1127</v>
      </c>
      <c r="I109" t="s">
        <v>835</v>
      </c>
      <c r="J109" t="s">
        <v>680</v>
      </c>
      <c r="L109">
        <v>900072000000820</v>
      </c>
    </row>
    <row r="110" spans="2:12" ht="12.75">
      <c r="B110">
        <v>1299</v>
      </c>
      <c r="C110" t="s">
        <v>407</v>
      </c>
      <c r="D110" t="s">
        <v>126</v>
      </c>
      <c r="E110" t="s">
        <v>886</v>
      </c>
      <c r="F110" t="s">
        <v>527</v>
      </c>
      <c r="G110" s="475" t="s">
        <v>1128</v>
      </c>
      <c r="H110" s="475" t="s">
        <v>1129</v>
      </c>
      <c r="I110" t="s">
        <v>835</v>
      </c>
      <c r="J110" t="s">
        <v>528</v>
      </c>
      <c r="L110">
        <v>276094180055282</v>
      </c>
    </row>
    <row r="111" spans="2:12" ht="12.75">
      <c r="B111">
        <v>1300</v>
      </c>
      <c r="C111" t="s">
        <v>1130</v>
      </c>
      <c r="D111" t="s">
        <v>126</v>
      </c>
      <c r="E111" t="s">
        <v>886</v>
      </c>
      <c r="F111" t="s">
        <v>383</v>
      </c>
      <c r="G111" s="475" t="s">
        <v>1131</v>
      </c>
      <c r="H111" s="475" t="s">
        <v>1132</v>
      </c>
      <c r="I111" t="s">
        <v>835</v>
      </c>
      <c r="J111" t="s">
        <v>673</v>
      </c>
      <c r="L111">
        <v>945000000559465</v>
      </c>
    </row>
    <row r="112" spans="2:9" ht="12.75">
      <c r="B112">
        <v>1323</v>
      </c>
      <c r="C112" t="s">
        <v>508</v>
      </c>
      <c r="D112" t="s">
        <v>126</v>
      </c>
      <c r="E112" t="s">
        <v>886</v>
      </c>
      <c r="F112" t="s">
        <v>269</v>
      </c>
      <c r="G112" s="475" t="s">
        <v>1133</v>
      </c>
      <c r="H112" s="475" t="s">
        <v>1134</v>
      </c>
      <c r="I112" t="s">
        <v>835</v>
      </c>
    </row>
    <row r="113" spans="2:12" ht="12.75">
      <c r="B113">
        <v>1327</v>
      </c>
      <c r="C113" t="s">
        <v>302</v>
      </c>
      <c r="D113" t="s">
        <v>191</v>
      </c>
      <c r="E113" t="s">
        <v>931</v>
      </c>
      <c r="F113" t="s">
        <v>1135</v>
      </c>
      <c r="G113" s="475" t="s">
        <v>1136</v>
      </c>
      <c r="H113" s="475" t="s">
        <v>1137</v>
      </c>
      <c r="I113" t="s">
        <v>836</v>
      </c>
      <c r="L113">
        <v>276098104083305</v>
      </c>
    </row>
    <row r="114" spans="2:12" ht="12.75">
      <c r="B114">
        <v>1328</v>
      </c>
      <c r="C114" t="s">
        <v>1138</v>
      </c>
      <c r="D114" t="s">
        <v>103</v>
      </c>
      <c r="E114" t="s">
        <v>894</v>
      </c>
      <c r="F114" t="s">
        <v>348</v>
      </c>
      <c r="G114" s="475" t="s">
        <v>1139</v>
      </c>
      <c r="H114" s="475" t="s">
        <v>1140</v>
      </c>
      <c r="I114">
        <v>4311</v>
      </c>
      <c r="L114">
        <v>276093400219476</v>
      </c>
    </row>
    <row r="115" spans="2:12" ht="12.75">
      <c r="B115">
        <v>1331</v>
      </c>
      <c r="C115" t="s">
        <v>689</v>
      </c>
      <c r="D115" t="s">
        <v>492</v>
      </c>
      <c r="E115" t="s">
        <v>886</v>
      </c>
      <c r="F115" t="s">
        <v>372</v>
      </c>
      <c r="G115" s="475" t="s">
        <v>1025</v>
      </c>
      <c r="H115" s="475" t="s">
        <v>1141</v>
      </c>
      <c r="I115" t="s">
        <v>835</v>
      </c>
      <c r="J115" t="s">
        <v>690</v>
      </c>
      <c r="L115">
        <v>276096900386536</v>
      </c>
    </row>
    <row r="116" spans="2:12" ht="12.75">
      <c r="B116">
        <v>1332</v>
      </c>
      <c r="C116" t="s">
        <v>146</v>
      </c>
      <c r="D116" t="s">
        <v>126</v>
      </c>
      <c r="E116" t="s">
        <v>886</v>
      </c>
      <c r="F116" t="s">
        <v>640</v>
      </c>
      <c r="G116" s="475" t="s">
        <v>1142</v>
      </c>
      <c r="H116" s="475" t="s">
        <v>1143</v>
      </c>
      <c r="I116" t="s">
        <v>835</v>
      </c>
      <c r="J116" t="s">
        <v>637</v>
      </c>
      <c r="L116">
        <v>276097200861568</v>
      </c>
    </row>
    <row r="117" spans="2:12" ht="12.75">
      <c r="B117">
        <v>1338</v>
      </c>
      <c r="C117" t="s">
        <v>242</v>
      </c>
      <c r="D117" t="s">
        <v>185</v>
      </c>
      <c r="E117" t="s">
        <v>886</v>
      </c>
      <c r="F117" t="s">
        <v>692</v>
      </c>
      <c r="G117" s="475" t="s">
        <v>1144</v>
      </c>
      <c r="H117" s="475" t="s">
        <v>1145</v>
      </c>
      <c r="I117" t="s">
        <v>835</v>
      </c>
      <c r="J117" t="s">
        <v>693</v>
      </c>
      <c r="L117">
        <v>27609810250244</v>
      </c>
    </row>
    <row r="118" spans="2:12" ht="12.75">
      <c r="B118">
        <v>1341</v>
      </c>
      <c r="C118" t="s">
        <v>1146</v>
      </c>
      <c r="D118" t="s">
        <v>103</v>
      </c>
      <c r="E118" t="s">
        <v>886</v>
      </c>
      <c r="F118" t="s">
        <v>694</v>
      </c>
      <c r="G118" s="475" t="s">
        <v>1147</v>
      </c>
      <c r="H118" s="475" t="s">
        <v>1148</v>
      </c>
      <c r="I118" t="s">
        <v>835</v>
      </c>
      <c r="J118" t="s">
        <v>695</v>
      </c>
      <c r="L118">
        <v>276096900382393</v>
      </c>
    </row>
    <row r="119" spans="2:12" ht="12.75">
      <c r="B119">
        <v>1345</v>
      </c>
      <c r="C119" t="s">
        <v>696</v>
      </c>
      <c r="D119" t="s">
        <v>126</v>
      </c>
      <c r="E119" t="s">
        <v>886</v>
      </c>
      <c r="F119" t="s">
        <v>697</v>
      </c>
      <c r="G119" s="475" t="s">
        <v>1149</v>
      </c>
      <c r="H119" s="475" t="s">
        <v>921</v>
      </c>
      <c r="I119" t="s">
        <v>835</v>
      </c>
      <c r="J119" t="s">
        <v>685</v>
      </c>
      <c r="L119">
        <v>276098102648625</v>
      </c>
    </row>
    <row r="120" spans="2:12" ht="12.75">
      <c r="B120">
        <v>1347</v>
      </c>
      <c r="C120" t="s">
        <v>698</v>
      </c>
      <c r="D120" t="s">
        <v>441</v>
      </c>
      <c r="E120" t="s">
        <v>914</v>
      </c>
      <c r="F120" t="s">
        <v>699</v>
      </c>
      <c r="G120" s="475" t="s">
        <v>1150</v>
      </c>
      <c r="H120" s="475" t="s">
        <v>1151</v>
      </c>
      <c r="I120">
        <v>429</v>
      </c>
      <c r="J120" t="s">
        <v>700</v>
      </c>
      <c r="L120">
        <v>941000012093573</v>
      </c>
    </row>
    <row r="121" spans="2:12" ht="12.75">
      <c r="B121">
        <v>1359</v>
      </c>
      <c r="C121" t="s">
        <v>705</v>
      </c>
      <c r="D121" t="s">
        <v>126</v>
      </c>
      <c r="E121" t="s">
        <v>886</v>
      </c>
      <c r="F121" t="s">
        <v>547</v>
      </c>
      <c r="G121" s="475" t="s">
        <v>1152</v>
      </c>
      <c r="H121" s="475" t="s">
        <v>1153</v>
      </c>
      <c r="I121" t="s">
        <v>835</v>
      </c>
      <c r="J121" t="s">
        <v>706</v>
      </c>
      <c r="L121">
        <v>276098102858032</v>
      </c>
    </row>
    <row r="122" spans="2:12" ht="12.75">
      <c r="B122">
        <v>1365</v>
      </c>
      <c r="C122" t="s">
        <v>105</v>
      </c>
      <c r="D122" t="s">
        <v>126</v>
      </c>
      <c r="E122" t="s">
        <v>886</v>
      </c>
      <c r="F122" t="s">
        <v>234</v>
      </c>
      <c r="G122" s="475" t="s">
        <v>1154</v>
      </c>
      <c r="H122" s="475" t="s">
        <v>1155</v>
      </c>
      <c r="I122" t="s">
        <v>835</v>
      </c>
      <c r="L122">
        <v>276096100256093</v>
      </c>
    </row>
    <row r="123" spans="2:12" ht="12.75">
      <c r="B123">
        <v>1381</v>
      </c>
      <c r="C123" t="s">
        <v>474</v>
      </c>
      <c r="D123" t="s">
        <v>122</v>
      </c>
      <c r="E123" t="s">
        <v>928</v>
      </c>
      <c r="F123" t="s">
        <v>398</v>
      </c>
      <c r="G123" s="475" t="s">
        <v>1156</v>
      </c>
      <c r="H123" s="475" t="s">
        <v>1157</v>
      </c>
      <c r="I123">
        <v>3002</v>
      </c>
      <c r="J123" t="s">
        <v>473</v>
      </c>
      <c r="L123">
        <v>977200004216587</v>
      </c>
    </row>
    <row r="124" spans="2:12" ht="12.75">
      <c r="B124">
        <v>1383</v>
      </c>
      <c r="C124" t="s">
        <v>1158</v>
      </c>
      <c r="D124" t="s">
        <v>126</v>
      </c>
      <c r="E124" t="s">
        <v>886</v>
      </c>
      <c r="F124" t="s">
        <v>281</v>
      </c>
      <c r="G124" s="475" t="s">
        <v>1159</v>
      </c>
      <c r="H124" s="475" t="s">
        <v>1117</v>
      </c>
      <c r="I124" t="s">
        <v>835</v>
      </c>
      <c r="L124">
        <v>276094180043534</v>
      </c>
    </row>
    <row r="125" spans="2:12" ht="12.75">
      <c r="B125">
        <v>1393</v>
      </c>
      <c r="C125" t="s">
        <v>709</v>
      </c>
      <c r="D125" t="s">
        <v>172</v>
      </c>
      <c r="E125" t="s">
        <v>886</v>
      </c>
      <c r="F125" t="s">
        <v>562</v>
      </c>
      <c r="G125" s="475" t="s">
        <v>1160</v>
      </c>
      <c r="H125" s="475" t="s">
        <v>1161</v>
      </c>
      <c r="I125" t="s">
        <v>835</v>
      </c>
      <c r="J125" t="s">
        <v>577</v>
      </c>
      <c r="L125">
        <v>276096901052790</v>
      </c>
    </row>
    <row r="126" spans="2:12" ht="12.75">
      <c r="B126">
        <v>1395</v>
      </c>
      <c r="C126" t="s">
        <v>323</v>
      </c>
      <c r="D126" t="s">
        <v>103</v>
      </c>
      <c r="E126" t="s">
        <v>886</v>
      </c>
      <c r="F126" t="s">
        <v>359</v>
      </c>
      <c r="G126" s="475" t="s">
        <v>1162</v>
      </c>
      <c r="H126" s="475" t="s">
        <v>1163</v>
      </c>
      <c r="I126" t="s">
        <v>835</v>
      </c>
      <c r="J126" t="s">
        <v>1164</v>
      </c>
      <c r="L126">
        <v>276098102352465</v>
      </c>
    </row>
    <row r="127" spans="2:12" ht="12.75">
      <c r="B127">
        <v>1397</v>
      </c>
      <c r="C127" t="s">
        <v>710</v>
      </c>
      <c r="D127" t="s">
        <v>711</v>
      </c>
      <c r="E127" t="s">
        <v>886</v>
      </c>
      <c r="F127" t="s">
        <v>187</v>
      </c>
      <c r="G127" s="475" t="s">
        <v>1165</v>
      </c>
      <c r="H127" s="475" t="s">
        <v>1166</v>
      </c>
      <c r="I127" t="s">
        <v>835</v>
      </c>
      <c r="J127" t="s">
        <v>712</v>
      </c>
      <c r="L127">
        <v>981098102637007</v>
      </c>
    </row>
    <row r="128" spans="2:12" ht="12.75">
      <c r="B128">
        <v>1410</v>
      </c>
      <c r="C128" t="s">
        <v>716</v>
      </c>
      <c r="D128" t="s">
        <v>103</v>
      </c>
      <c r="E128" t="s">
        <v>886</v>
      </c>
      <c r="F128" t="s">
        <v>717</v>
      </c>
      <c r="G128" s="475" t="s">
        <v>1167</v>
      </c>
      <c r="H128" s="475" t="s">
        <v>1168</v>
      </c>
      <c r="I128" t="s">
        <v>835</v>
      </c>
      <c r="J128" t="s">
        <v>718</v>
      </c>
      <c r="L128">
        <v>276098102273034</v>
      </c>
    </row>
    <row r="129" spans="2:12" ht="12.75">
      <c r="B129">
        <v>1411</v>
      </c>
      <c r="C129" t="s">
        <v>719</v>
      </c>
      <c r="D129" t="s">
        <v>126</v>
      </c>
      <c r="E129" t="s">
        <v>886</v>
      </c>
      <c r="F129" t="s">
        <v>720</v>
      </c>
      <c r="G129" s="475" t="s">
        <v>1169</v>
      </c>
      <c r="H129" s="475" t="s">
        <v>1170</v>
      </c>
      <c r="I129" t="s">
        <v>835</v>
      </c>
      <c r="J129" t="s">
        <v>721</v>
      </c>
      <c r="L129">
        <v>276098510243608</v>
      </c>
    </row>
    <row r="130" spans="2:12" ht="12.75">
      <c r="B130">
        <v>1416</v>
      </c>
      <c r="C130" t="s">
        <v>133</v>
      </c>
      <c r="D130" t="s">
        <v>103</v>
      </c>
      <c r="E130" t="s">
        <v>886</v>
      </c>
      <c r="F130" t="s">
        <v>724</v>
      </c>
      <c r="G130" s="475" t="s">
        <v>1171</v>
      </c>
      <c r="H130" s="475" t="s">
        <v>1172</v>
      </c>
      <c r="I130" t="s">
        <v>835</v>
      </c>
      <c r="J130" t="s">
        <v>725</v>
      </c>
      <c r="L130">
        <v>276094100145584</v>
      </c>
    </row>
    <row r="131" spans="2:12" ht="12.75">
      <c r="B131">
        <v>1418</v>
      </c>
      <c r="C131" t="s">
        <v>726</v>
      </c>
      <c r="D131" t="s">
        <v>126</v>
      </c>
      <c r="E131" t="s">
        <v>886</v>
      </c>
      <c r="F131" t="s">
        <v>331</v>
      </c>
      <c r="G131" s="475" t="s">
        <v>1173</v>
      </c>
      <c r="H131" s="475" t="s">
        <v>1174</v>
      </c>
      <c r="I131" t="s">
        <v>835</v>
      </c>
      <c r="J131" t="s">
        <v>721</v>
      </c>
      <c r="L131">
        <v>276097200983010</v>
      </c>
    </row>
    <row r="132" spans="2:12" ht="12.75">
      <c r="B132">
        <v>1421</v>
      </c>
      <c r="C132" t="s">
        <v>727</v>
      </c>
      <c r="D132" t="s">
        <v>449</v>
      </c>
      <c r="E132" t="s">
        <v>886</v>
      </c>
      <c r="F132" t="s">
        <v>409</v>
      </c>
      <c r="G132" s="475" t="s">
        <v>1175</v>
      </c>
      <c r="H132" s="475" t="s">
        <v>1176</v>
      </c>
      <c r="I132" t="s">
        <v>835</v>
      </c>
      <c r="J132" t="s">
        <v>728</v>
      </c>
      <c r="L132">
        <v>945000001091736</v>
      </c>
    </row>
    <row r="133" spans="2:12" ht="12.75">
      <c r="B133">
        <v>1424</v>
      </c>
      <c r="C133" t="s">
        <v>304</v>
      </c>
      <c r="D133" t="s">
        <v>131</v>
      </c>
      <c r="E133" t="s">
        <v>886</v>
      </c>
      <c r="F133" t="s">
        <v>275</v>
      </c>
      <c r="G133" s="475" t="s">
        <v>1116</v>
      </c>
      <c r="H133" s="475" t="s">
        <v>1177</v>
      </c>
      <c r="I133" t="s">
        <v>835</v>
      </c>
      <c r="J133" t="s">
        <v>729</v>
      </c>
      <c r="L133">
        <v>276098104265645</v>
      </c>
    </row>
    <row r="134" spans="2:12" ht="12.75">
      <c r="B134">
        <v>1434</v>
      </c>
      <c r="C134" t="s">
        <v>735</v>
      </c>
      <c r="D134" t="s">
        <v>736</v>
      </c>
      <c r="E134" t="s">
        <v>886</v>
      </c>
      <c r="F134" t="s">
        <v>256</v>
      </c>
      <c r="G134" s="475" t="s">
        <v>1178</v>
      </c>
      <c r="H134" s="475" t="s">
        <v>1179</v>
      </c>
      <c r="I134" t="s">
        <v>835</v>
      </c>
      <c r="J134" t="s">
        <v>737</v>
      </c>
      <c r="L134">
        <v>276098104037754</v>
      </c>
    </row>
    <row r="135" spans="2:12" ht="15" customHeight="1">
      <c r="B135">
        <v>1441</v>
      </c>
      <c r="C135" t="s">
        <v>740</v>
      </c>
      <c r="D135" t="s">
        <v>103</v>
      </c>
      <c r="E135" t="s">
        <v>886</v>
      </c>
      <c r="F135" t="s">
        <v>236</v>
      </c>
      <c r="G135" s="475" t="s">
        <v>1180</v>
      </c>
      <c r="H135" s="475" t="s">
        <v>1181</v>
      </c>
      <c r="I135" t="s">
        <v>835</v>
      </c>
      <c r="J135" t="s">
        <v>237</v>
      </c>
      <c r="L135">
        <v>276098102509584</v>
      </c>
    </row>
    <row r="136" spans="2:12" ht="15" customHeight="1">
      <c r="B136">
        <v>1442</v>
      </c>
      <c r="C136" t="s">
        <v>323</v>
      </c>
      <c r="D136" t="s">
        <v>741</v>
      </c>
      <c r="E136" t="s">
        <v>886</v>
      </c>
      <c r="F136" t="s">
        <v>1182</v>
      </c>
      <c r="G136" s="475" t="s">
        <v>1183</v>
      </c>
      <c r="H136" s="475" t="s">
        <v>971</v>
      </c>
      <c r="I136" t="s">
        <v>835</v>
      </c>
      <c r="J136" t="s">
        <v>1184</v>
      </c>
      <c r="L136">
        <v>276098510296633</v>
      </c>
    </row>
    <row r="137" spans="2:12" ht="15" customHeight="1">
      <c r="B137">
        <v>1447</v>
      </c>
      <c r="C137" t="s">
        <v>742</v>
      </c>
      <c r="D137" t="s">
        <v>126</v>
      </c>
      <c r="E137" t="s">
        <v>886</v>
      </c>
      <c r="F137" t="s">
        <v>1185</v>
      </c>
      <c r="G137" s="475" t="s">
        <v>1186</v>
      </c>
      <c r="H137" s="475" t="s">
        <v>1187</v>
      </c>
      <c r="I137" t="s">
        <v>835</v>
      </c>
      <c r="J137" t="s">
        <v>188</v>
      </c>
      <c r="L137">
        <v>276094180001962</v>
      </c>
    </row>
    <row r="138" spans="2:12" ht="15" customHeight="1">
      <c r="B138">
        <v>1455</v>
      </c>
      <c r="C138" t="s">
        <v>748</v>
      </c>
      <c r="D138" t="s">
        <v>441</v>
      </c>
      <c r="E138" t="s">
        <v>928</v>
      </c>
      <c r="F138" t="s">
        <v>446</v>
      </c>
      <c r="G138" s="475" t="s">
        <v>1188</v>
      </c>
      <c r="H138" s="475" t="s">
        <v>1189</v>
      </c>
      <c r="I138">
        <v>8003</v>
      </c>
      <c r="J138" t="s">
        <v>604</v>
      </c>
      <c r="L138">
        <v>276098102686235</v>
      </c>
    </row>
    <row r="139" spans="2:12" ht="15" customHeight="1">
      <c r="B139">
        <v>1458</v>
      </c>
      <c r="C139" t="s">
        <v>147</v>
      </c>
      <c r="D139" t="s">
        <v>103</v>
      </c>
      <c r="E139" t="s">
        <v>886</v>
      </c>
      <c r="F139" t="s">
        <v>488</v>
      </c>
      <c r="G139" s="475" t="s">
        <v>1190</v>
      </c>
      <c r="H139" s="475" t="s">
        <v>1191</v>
      </c>
      <c r="I139" t="s">
        <v>835</v>
      </c>
      <c r="J139" t="s">
        <v>662</v>
      </c>
      <c r="L139">
        <v>276098510273844</v>
      </c>
    </row>
    <row r="140" spans="2:12" ht="15" customHeight="1">
      <c r="B140">
        <v>1462</v>
      </c>
      <c r="C140" t="s">
        <v>751</v>
      </c>
      <c r="D140" t="s">
        <v>752</v>
      </c>
      <c r="E140" t="s">
        <v>886</v>
      </c>
      <c r="F140" t="s">
        <v>1192</v>
      </c>
      <c r="G140" s="475" t="s">
        <v>1193</v>
      </c>
      <c r="H140" s="475" t="s">
        <v>1194</v>
      </c>
      <c r="I140" t="s">
        <v>835</v>
      </c>
      <c r="J140" t="s">
        <v>753</v>
      </c>
      <c r="L140">
        <v>276096100271435</v>
      </c>
    </row>
    <row r="141" spans="2:12" ht="15" customHeight="1">
      <c r="B141">
        <v>1466</v>
      </c>
      <c r="C141" t="s">
        <v>136</v>
      </c>
      <c r="D141" t="s">
        <v>185</v>
      </c>
      <c r="E141" t="s">
        <v>886</v>
      </c>
      <c r="F141" t="s">
        <v>458</v>
      </c>
      <c r="G141" s="475" t="s">
        <v>1195</v>
      </c>
      <c r="H141" s="475" t="s">
        <v>1196</v>
      </c>
      <c r="I141" t="s">
        <v>835</v>
      </c>
      <c r="J141" t="s">
        <v>754</v>
      </c>
      <c r="L141">
        <v>276098102562010</v>
      </c>
    </row>
    <row r="142" spans="2:10" ht="15" customHeight="1">
      <c r="B142">
        <v>1486</v>
      </c>
      <c r="C142" t="s">
        <v>756</v>
      </c>
      <c r="D142" t="s">
        <v>757</v>
      </c>
      <c r="E142" t="s">
        <v>923</v>
      </c>
      <c r="F142" t="s">
        <v>225</v>
      </c>
      <c r="G142" s="475" t="s">
        <v>1197</v>
      </c>
      <c r="H142" s="475" t="s">
        <v>1198</v>
      </c>
      <c r="I142">
        <v>1507</v>
      </c>
      <c r="J142" t="s">
        <v>758</v>
      </c>
    </row>
    <row r="143" spans="2:12" ht="15" customHeight="1">
      <c r="B143">
        <v>1491</v>
      </c>
      <c r="C143" t="s">
        <v>761</v>
      </c>
      <c r="D143" t="s">
        <v>762</v>
      </c>
      <c r="E143" t="s">
        <v>886</v>
      </c>
      <c r="F143" t="s">
        <v>440</v>
      </c>
      <c r="G143" s="475" t="s">
        <v>1199</v>
      </c>
      <c r="H143" s="475" t="s">
        <v>1200</v>
      </c>
      <c r="I143" t="s">
        <v>835</v>
      </c>
      <c r="J143" t="s">
        <v>763</v>
      </c>
      <c r="L143">
        <v>941000002857657</v>
      </c>
    </row>
    <row r="144" spans="2:9" ht="15" customHeight="1">
      <c r="B144">
        <v>1492</v>
      </c>
      <c r="C144" t="s">
        <v>764</v>
      </c>
      <c r="D144" t="s">
        <v>126</v>
      </c>
      <c r="E144" t="s">
        <v>886</v>
      </c>
      <c r="F144" t="s">
        <v>1201</v>
      </c>
      <c r="G144" s="475" t="s">
        <v>1202</v>
      </c>
      <c r="H144" s="475" t="s">
        <v>1203</v>
      </c>
      <c r="I144" t="s">
        <v>835</v>
      </c>
    </row>
    <row r="145" spans="2:12" ht="15" customHeight="1">
      <c r="B145">
        <v>1500</v>
      </c>
      <c r="C145" t="s">
        <v>626</v>
      </c>
      <c r="D145" t="s">
        <v>360</v>
      </c>
      <c r="E145" t="s">
        <v>886</v>
      </c>
      <c r="F145" t="s">
        <v>361</v>
      </c>
      <c r="G145" s="475" t="s">
        <v>1204</v>
      </c>
      <c r="H145" s="475" t="s">
        <v>1205</v>
      </c>
      <c r="I145" t="s">
        <v>835</v>
      </c>
      <c r="J145" t="s">
        <v>362</v>
      </c>
      <c r="L145">
        <v>40098100277960</v>
      </c>
    </row>
    <row r="146" spans="2:12" ht="15" customHeight="1">
      <c r="B146">
        <v>1506</v>
      </c>
      <c r="C146" t="s">
        <v>300</v>
      </c>
      <c r="D146" t="s">
        <v>103</v>
      </c>
      <c r="E146" t="s">
        <v>886</v>
      </c>
      <c r="F146" t="s">
        <v>292</v>
      </c>
      <c r="G146" s="475" t="s">
        <v>1206</v>
      </c>
      <c r="H146" s="475" t="s">
        <v>999</v>
      </c>
      <c r="I146" t="s">
        <v>835</v>
      </c>
      <c r="J146" t="s">
        <v>293</v>
      </c>
      <c r="L146">
        <v>276096100271023</v>
      </c>
    </row>
    <row r="147" spans="2:12" ht="15" customHeight="1">
      <c r="B147">
        <v>1510</v>
      </c>
      <c r="C147" t="s">
        <v>770</v>
      </c>
      <c r="D147" t="s">
        <v>103</v>
      </c>
      <c r="E147" t="s">
        <v>886</v>
      </c>
      <c r="F147" t="s">
        <v>771</v>
      </c>
      <c r="G147" s="475" t="s">
        <v>1207</v>
      </c>
      <c r="H147" s="475" t="s">
        <v>1208</v>
      </c>
      <c r="I147" t="s">
        <v>835</v>
      </c>
      <c r="L147">
        <v>276098102852606</v>
      </c>
    </row>
    <row r="148" spans="2:12" ht="15" customHeight="1">
      <c r="B148">
        <v>1523</v>
      </c>
      <c r="C148" t="s">
        <v>303</v>
      </c>
      <c r="D148" t="s">
        <v>103</v>
      </c>
      <c r="E148" t="s">
        <v>886</v>
      </c>
      <c r="F148" t="s">
        <v>773</v>
      </c>
      <c r="G148" s="475" t="s">
        <v>1209</v>
      </c>
      <c r="H148" s="475" t="s">
        <v>1210</v>
      </c>
      <c r="I148" t="s">
        <v>835</v>
      </c>
      <c r="J148" t="s">
        <v>774</v>
      </c>
      <c r="L148">
        <v>276098104141235</v>
      </c>
    </row>
    <row r="149" spans="2:12" ht="15" customHeight="1">
      <c r="B149">
        <v>1524</v>
      </c>
      <c r="C149" t="s">
        <v>775</v>
      </c>
      <c r="D149" t="s">
        <v>103</v>
      </c>
      <c r="E149" t="s">
        <v>886</v>
      </c>
      <c r="F149" t="s">
        <v>773</v>
      </c>
      <c r="G149" s="475" t="s">
        <v>1209</v>
      </c>
      <c r="H149" s="475" t="s">
        <v>1210</v>
      </c>
      <c r="I149" t="s">
        <v>835</v>
      </c>
      <c r="J149" t="s">
        <v>774</v>
      </c>
      <c r="L149">
        <v>276098104148024</v>
      </c>
    </row>
    <row r="150" spans="2:12" ht="15" customHeight="1">
      <c r="B150">
        <v>1527</v>
      </c>
      <c r="C150" t="s">
        <v>779</v>
      </c>
      <c r="D150" t="s">
        <v>126</v>
      </c>
      <c r="E150" t="s">
        <v>886</v>
      </c>
      <c r="F150" t="s">
        <v>383</v>
      </c>
      <c r="G150" s="475" t="s">
        <v>1178</v>
      </c>
      <c r="H150" s="475" t="s">
        <v>1211</v>
      </c>
      <c r="I150" t="s">
        <v>835</v>
      </c>
      <c r="J150" t="s">
        <v>673</v>
      </c>
      <c r="L150">
        <v>276094180043093</v>
      </c>
    </row>
    <row r="151" spans="2:12" ht="15" customHeight="1">
      <c r="B151">
        <v>1531</v>
      </c>
      <c r="C151" t="s">
        <v>128</v>
      </c>
      <c r="D151" t="s">
        <v>422</v>
      </c>
      <c r="E151" t="s">
        <v>931</v>
      </c>
      <c r="F151" t="s">
        <v>569</v>
      </c>
      <c r="G151" s="475" t="s">
        <v>1212</v>
      </c>
      <c r="H151" s="475" t="s">
        <v>1213</v>
      </c>
      <c r="I151">
        <v>4502</v>
      </c>
      <c r="J151" t="s">
        <v>781</v>
      </c>
      <c r="L151">
        <v>276098104122453</v>
      </c>
    </row>
    <row r="152" spans="2:12" ht="15" customHeight="1">
      <c r="B152">
        <v>1549</v>
      </c>
      <c r="C152" t="s">
        <v>482</v>
      </c>
      <c r="D152" t="s">
        <v>185</v>
      </c>
      <c r="E152" t="s">
        <v>894</v>
      </c>
      <c r="F152" t="s">
        <v>440</v>
      </c>
      <c r="G152" s="475" t="s">
        <v>1214</v>
      </c>
      <c r="H152" s="475" t="s">
        <v>1215</v>
      </c>
      <c r="I152">
        <v>7003</v>
      </c>
      <c r="J152" t="s">
        <v>634</v>
      </c>
      <c r="L152">
        <v>276093400072605</v>
      </c>
    </row>
    <row r="153" spans="2:12" ht="15" customHeight="1">
      <c r="B153">
        <v>1553</v>
      </c>
      <c r="C153" t="s">
        <v>1216</v>
      </c>
      <c r="D153" t="s">
        <v>103</v>
      </c>
      <c r="E153" t="s">
        <v>886</v>
      </c>
      <c r="F153" t="s">
        <v>189</v>
      </c>
      <c r="G153" s="475" t="s">
        <v>1217</v>
      </c>
      <c r="H153" s="475" t="s">
        <v>1218</v>
      </c>
      <c r="I153" t="s">
        <v>835</v>
      </c>
      <c r="L153">
        <v>276094100124056</v>
      </c>
    </row>
    <row r="154" spans="2:12" ht="15" customHeight="1">
      <c r="B154">
        <v>1555</v>
      </c>
      <c r="C154" t="s">
        <v>119</v>
      </c>
      <c r="D154" t="s">
        <v>123</v>
      </c>
      <c r="E154" t="s">
        <v>931</v>
      </c>
      <c r="F154" t="s">
        <v>383</v>
      </c>
      <c r="G154" s="475" t="s">
        <v>1219</v>
      </c>
      <c r="H154" s="475" t="s">
        <v>1220</v>
      </c>
      <c r="I154">
        <v>5113</v>
      </c>
      <c r="J154" t="s">
        <v>581</v>
      </c>
      <c r="L154">
        <v>276098104408662</v>
      </c>
    </row>
    <row r="155" spans="2:12" ht="15" customHeight="1">
      <c r="B155">
        <v>1557</v>
      </c>
      <c r="C155" t="s">
        <v>794</v>
      </c>
      <c r="D155" t="s">
        <v>126</v>
      </c>
      <c r="E155" t="s">
        <v>886</v>
      </c>
      <c r="F155" t="s">
        <v>848</v>
      </c>
      <c r="G155" s="475" t="s">
        <v>1221</v>
      </c>
      <c r="H155" s="475" t="s">
        <v>1143</v>
      </c>
      <c r="I155" t="s">
        <v>835</v>
      </c>
      <c r="J155" t="s">
        <v>637</v>
      </c>
      <c r="L155">
        <v>276097202129164</v>
      </c>
    </row>
    <row r="156" spans="2:12" ht="15" customHeight="1">
      <c r="B156">
        <v>1561</v>
      </c>
      <c r="C156" t="s">
        <v>105</v>
      </c>
      <c r="D156" t="s">
        <v>411</v>
      </c>
      <c r="E156" t="s">
        <v>886</v>
      </c>
      <c r="F156" t="s">
        <v>569</v>
      </c>
      <c r="G156" s="475" t="s">
        <v>1222</v>
      </c>
      <c r="H156" s="475" t="s">
        <v>1223</v>
      </c>
      <c r="I156" t="s">
        <v>835</v>
      </c>
      <c r="L156">
        <v>276098102391413</v>
      </c>
    </row>
    <row r="157" spans="2:12" ht="15" customHeight="1">
      <c r="B157">
        <v>1566</v>
      </c>
      <c r="C157" t="s">
        <v>385</v>
      </c>
      <c r="D157" t="s">
        <v>765</v>
      </c>
      <c r="E157" t="s">
        <v>931</v>
      </c>
      <c r="F157" t="s">
        <v>187</v>
      </c>
      <c r="G157" s="475" t="s">
        <v>1224</v>
      </c>
      <c r="H157" s="475" t="s">
        <v>1225</v>
      </c>
      <c r="I157" t="s">
        <v>836</v>
      </c>
      <c r="J157" t="s">
        <v>797</v>
      </c>
      <c r="L157">
        <v>276097200649329</v>
      </c>
    </row>
    <row r="158" spans="2:12" ht="15" customHeight="1">
      <c r="B158">
        <v>1598</v>
      </c>
      <c r="C158" t="s">
        <v>223</v>
      </c>
      <c r="D158" t="s">
        <v>492</v>
      </c>
      <c r="E158" t="s">
        <v>886</v>
      </c>
      <c r="F158" t="s">
        <v>562</v>
      </c>
      <c r="G158" s="475" t="s">
        <v>1226</v>
      </c>
      <c r="H158" s="475" t="s">
        <v>1227</v>
      </c>
      <c r="I158" t="s">
        <v>835</v>
      </c>
      <c r="J158" t="s">
        <v>596</v>
      </c>
      <c r="L158">
        <v>276096909066350</v>
      </c>
    </row>
    <row r="159" spans="2:12" ht="15" customHeight="1">
      <c r="B159">
        <v>1605</v>
      </c>
      <c r="C159" t="s">
        <v>282</v>
      </c>
      <c r="D159" t="s">
        <v>126</v>
      </c>
      <c r="E159" t="s">
        <v>886</v>
      </c>
      <c r="F159" t="s">
        <v>307</v>
      </c>
      <c r="G159" s="475" t="s">
        <v>1228</v>
      </c>
      <c r="H159" s="475" t="s">
        <v>1229</v>
      </c>
      <c r="I159" t="s">
        <v>835</v>
      </c>
      <c r="J159" t="s">
        <v>805</v>
      </c>
      <c r="L159">
        <v>276098102752617</v>
      </c>
    </row>
    <row r="160" spans="2:12" ht="15" customHeight="1">
      <c r="B160">
        <v>1607</v>
      </c>
      <c r="C160" t="s">
        <v>770</v>
      </c>
      <c r="D160" t="s">
        <v>123</v>
      </c>
      <c r="E160" t="s">
        <v>928</v>
      </c>
      <c r="F160" t="s">
        <v>806</v>
      </c>
      <c r="G160" s="475" t="s">
        <v>1230</v>
      </c>
      <c r="H160" s="475" t="s">
        <v>1231</v>
      </c>
      <c r="I160">
        <v>6009</v>
      </c>
      <c r="J160" t="s">
        <v>1232</v>
      </c>
      <c r="L160">
        <v>941000012307942</v>
      </c>
    </row>
    <row r="161" spans="2:10" ht="15" customHeight="1">
      <c r="B161">
        <v>1614</v>
      </c>
      <c r="C161" t="s">
        <v>808</v>
      </c>
      <c r="D161" t="s">
        <v>191</v>
      </c>
      <c r="E161" t="s">
        <v>928</v>
      </c>
      <c r="F161" t="s">
        <v>254</v>
      </c>
      <c r="G161" s="475" t="s">
        <v>1233</v>
      </c>
      <c r="H161" s="475" t="s">
        <v>1234</v>
      </c>
      <c r="I161">
        <v>1606</v>
      </c>
      <c r="J161" t="s">
        <v>380</v>
      </c>
    </row>
    <row r="162" spans="2:12" ht="15" customHeight="1">
      <c r="B162">
        <v>1617</v>
      </c>
      <c r="C162" t="s">
        <v>809</v>
      </c>
      <c r="D162" t="s">
        <v>185</v>
      </c>
      <c r="E162" t="s">
        <v>886</v>
      </c>
      <c r="F162" t="s">
        <v>810</v>
      </c>
      <c r="G162" s="475" t="s">
        <v>1235</v>
      </c>
      <c r="H162" s="475" t="s">
        <v>1236</v>
      </c>
      <c r="I162" t="s">
        <v>835</v>
      </c>
      <c r="J162" t="s">
        <v>1237</v>
      </c>
      <c r="L162">
        <v>276098102845446</v>
      </c>
    </row>
    <row r="163" spans="2:12" ht="15" customHeight="1">
      <c r="B163">
        <v>1619</v>
      </c>
      <c r="C163" t="s">
        <v>130</v>
      </c>
      <c r="D163" t="s">
        <v>229</v>
      </c>
      <c r="E163" t="s">
        <v>931</v>
      </c>
      <c r="F163" t="s">
        <v>269</v>
      </c>
      <c r="G163" s="475" t="s">
        <v>1238</v>
      </c>
      <c r="H163" s="475" t="s">
        <v>944</v>
      </c>
      <c r="I163">
        <v>809</v>
      </c>
      <c r="J163" t="s">
        <v>427</v>
      </c>
      <c r="L163">
        <v>276099100993572</v>
      </c>
    </row>
    <row r="164" spans="2:12" ht="15" customHeight="1">
      <c r="B164">
        <v>1625</v>
      </c>
      <c r="C164" t="s">
        <v>447</v>
      </c>
      <c r="D164" t="s">
        <v>815</v>
      </c>
      <c r="E164" t="s">
        <v>886</v>
      </c>
      <c r="F164" t="s">
        <v>202</v>
      </c>
      <c r="G164" s="475" t="s">
        <v>1239</v>
      </c>
      <c r="H164" s="475" t="s">
        <v>1240</v>
      </c>
      <c r="I164" t="s">
        <v>835</v>
      </c>
      <c r="J164" t="s">
        <v>660</v>
      </c>
      <c r="L164">
        <v>945000001095030</v>
      </c>
    </row>
    <row r="165" spans="2:10" ht="15" customHeight="1">
      <c r="B165">
        <v>1634</v>
      </c>
      <c r="C165" t="s">
        <v>738</v>
      </c>
      <c r="D165" t="s">
        <v>123</v>
      </c>
      <c r="E165" t="s">
        <v>914</v>
      </c>
      <c r="F165" t="s">
        <v>431</v>
      </c>
      <c r="G165" s="475" t="s">
        <v>1241</v>
      </c>
      <c r="H165" s="475" t="s">
        <v>1229</v>
      </c>
      <c r="I165">
        <v>1508</v>
      </c>
      <c r="J165" t="s">
        <v>818</v>
      </c>
    </row>
    <row r="166" spans="2:12" ht="15" customHeight="1">
      <c r="B166">
        <v>1635</v>
      </c>
      <c r="C166" t="s">
        <v>819</v>
      </c>
      <c r="D166" t="s">
        <v>462</v>
      </c>
      <c r="E166" t="s">
        <v>894</v>
      </c>
      <c r="F166" t="s">
        <v>269</v>
      </c>
      <c r="G166" s="475" t="s">
        <v>1242</v>
      </c>
      <c r="H166" s="475" t="s">
        <v>1243</v>
      </c>
      <c r="I166">
        <v>1510</v>
      </c>
      <c r="J166" t="s">
        <v>1244</v>
      </c>
      <c r="L166">
        <v>98104126778</v>
      </c>
    </row>
    <row r="167" spans="2:12" ht="15" customHeight="1">
      <c r="B167">
        <v>1640</v>
      </c>
      <c r="C167" t="s">
        <v>255</v>
      </c>
      <c r="D167" t="s">
        <v>103</v>
      </c>
      <c r="E167" t="s">
        <v>886</v>
      </c>
      <c r="F167" t="s">
        <v>801</v>
      </c>
      <c r="G167" s="475" t="s">
        <v>980</v>
      </c>
      <c r="H167" s="475" t="s">
        <v>1245</v>
      </c>
      <c r="I167" t="s">
        <v>835</v>
      </c>
      <c r="J167" t="s">
        <v>1246</v>
      </c>
      <c r="L167">
        <v>276098102499281</v>
      </c>
    </row>
    <row r="168" spans="2:12" ht="15" customHeight="1">
      <c r="B168">
        <v>1643</v>
      </c>
      <c r="C168" t="s">
        <v>821</v>
      </c>
      <c r="D168" t="s">
        <v>436</v>
      </c>
      <c r="E168" t="s">
        <v>886</v>
      </c>
      <c r="F168" t="s">
        <v>277</v>
      </c>
      <c r="G168" s="475" t="s">
        <v>1247</v>
      </c>
      <c r="H168" s="475" t="s">
        <v>1248</v>
      </c>
      <c r="I168" t="s">
        <v>835</v>
      </c>
      <c r="J168" t="s">
        <v>1249</v>
      </c>
      <c r="L168">
        <v>179</v>
      </c>
    </row>
    <row r="169" spans="2:12" ht="15" customHeight="1">
      <c r="B169">
        <v>1644</v>
      </c>
      <c r="C169" t="s">
        <v>425</v>
      </c>
      <c r="D169" t="s">
        <v>103</v>
      </c>
      <c r="E169" t="s">
        <v>886</v>
      </c>
      <c r="F169" t="s">
        <v>467</v>
      </c>
      <c r="G169" s="475" t="s">
        <v>1250</v>
      </c>
      <c r="H169" s="475" t="s">
        <v>1087</v>
      </c>
      <c r="I169" t="s">
        <v>835</v>
      </c>
      <c r="J169" t="s">
        <v>603</v>
      </c>
      <c r="L169">
        <v>276096901062251</v>
      </c>
    </row>
    <row r="170" spans="2:12" ht="15" customHeight="1">
      <c r="B170">
        <v>1645</v>
      </c>
      <c r="C170" t="s">
        <v>811</v>
      </c>
      <c r="D170" t="s">
        <v>557</v>
      </c>
      <c r="E170" t="s">
        <v>914</v>
      </c>
      <c r="F170" t="s">
        <v>348</v>
      </c>
      <c r="G170" s="475" t="s">
        <v>1251</v>
      </c>
      <c r="H170" s="475" t="s">
        <v>1252</v>
      </c>
      <c r="I170">
        <v>10009</v>
      </c>
      <c r="J170" t="s">
        <v>349</v>
      </c>
      <c r="L170">
        <v>276097202118491</v>
      </c>
    </row>
    <row r="171" spans="2:12" ht="15" customHeight="1">
      <c r="B171">
        <v>1649</v>
      </c>
      <c r="C171" t="s">
        <v>823</v>
      </c>
      <c r="D171" t="s">
        <v>1253</v>
      </c>
      <c r="E171" t="s">
        <v>928</v>
      </c>
      <c r="F171" t="s">
        <v>277</v>
      </c>
      <c r="G171" s="475" t="s">
        <v>1254</v>
      </c>
      <c r="H171" s="475" t="s">
        <v>1255</v>
      </c>
      <c r="I171">
        <v>434</v>
      </c>
      <c r="J171" t="s">
        <v>1256</v>
      </c>
      <c r="L171">
        <v>276096900339</v>
      </c>
    </row>
    <row r="172" spans="2:12" ht="15" customHeight="1">
      <c r="B172">
        <v>1650</v>
      </c>
      <c r="C172" t="s">
        <v>130</v>
      </c>
      <c r="D172" t="s">
        <v>122</v>
      </c>
      <c r="E172" t="s">
        <v>928</v>
      </c>
      <c r="F172" t="s">
        <v>824</v>
      </c>
      <c r="G172" s="475" t="s">
        <v>1257</v>
      </c>
      <c r="H172" s="475" t="s">
        <v>1176</v>
      </c>
      <c r="I172">
        <v>438</v>
      </c>
      <c r="J172" t="s">
        <v>270</v>
      </c>
      <c r="L172">
        <v>276098104013341</v>
      </c>
    </row>
    <row r="173" spans="2:12" ht="15" customHeight="1">
      <c r="B173">
        <v>1657</v>
      </c>
      <c r="C173" t="s">
        <v>1258</v>
      </c>
      <c r="D173" t="s">
        <v>777</v>
      </c>
      <c r="E173" t="s">
        <v>923</v>
      </c>
      <c r="F173" t="s">
        <v>286</v>
      </c>
      <c r="G173" s="475" t="s">
        <v>1259</v>
      </c>
      <c r="H173" s="475" t="s">
        <v>1260</v>
      </c>
      <c r="I173">
        <v>810</v>
      </c>
      <c r="J173" t="s">
        <v>1261</v>
      </c>
      <c r="L173">
        <v>276098102873343</v>
      </c>
    </row>
    <row r="174" spans="2:12" ht="15" customHeight="1">
      <c r="B174">
        <v>1660</v>
      </c>
      <c r="C174" t="s">
        <v>413</v>
      </c>
      <c r="D174" t="s">
        <v>103</v>
      </c>
      <c r="E174" t="s">
        <v>886</v>
      </c>
      <c r="F174" t="s">
        <v>409</v>
      </c>
      <c r="G174" s="475" t="s">
        <v>1262</v>
      </c>
      <c r="H174" s="475" t="s">
        <v>1263</v>
      </c>
      <c r="I174" t="s">
        <v>835</v>
      </c>
      <c r="L174">
        <v>276097202335371</v>
      </c>
    </row>
    <row r="175" spans="2:12" ht="15" customHeight="1">
      <c r="B175">
        <v>1663</v>
      </c>
      <c r="C175" t="s">
        <v>144</v>
      </c>
      <c r="D175" t="s">
        <v>266</v>
      </c>
      <c r="E175" t="s">
        <v>886</v>
      </c>
      <c r="F175" t="s">
        <v>218</v>
      </c>
      <c r="G175" s="475" t="s">
        <v>1264</v>
      </c>
      <c r="H175" s="475" t="s">
        <v>1248</v>
      </c>
      <c r="I175" t="s">
        <v>835</v>
      </c>
      <c r="L175">
        <v>250269602936608</v>
      </c>
    </row>
    <row r="176" spans="2:12" ht="15" customHeight="1">
      <c r="B176">
        <v>1664</v>
      </c>
      <c r="C176" t="s">
        <v>1265</v>
      </c>
      <c r="D176" t="s">
        <v>1266</v>
      </c>
      <c r="E176" t="s">
        <v>886</v>
      </c>
      <c r="F176" t="s">
        <v>248</v>
      </c>
      <c r="G176" s="475" t="s">
        <v>1267</v>
      </c>
      <c r="H176" s="475" t="s">
        <v>1268</v>
      </c>
      <c r="I176" t="s">
        <v>835</v>
      </c>
      <c r="J176" t="s">
        <v>1269</v>
      </c>
      <c r="L176">
        <v>276096100162298</v>
      </c>
    </row>
    <row r="177" spans="2:12" ht="15" customHeight="1">
      <c r="B177">
        <v>1673</v>
      </c>
      <c r="C177" t="s">
        <v>323</v>
      </c>
      <c r="D177" t="s">
        <v>207</v>
      </c>
      <c r="E177" t="s">
        <v>931</v>
      </c>
      <c r="F177" t="s">
        <v>291</v>
      </c>
      <c r="G177" s="475" t="s">
        <v>1270</v>
      </c>
      <c r="H177" s="475" t="s">
        <v>1271</v>
      </c>
      <c r="I177">
        <v>6502</v>
      </c>
      <c r="J177" t="s">
        <v>1272</v>
      </c>
      <c r="L177">
        <v>945000001186361</v>
      </c>
    </row>
    <row r="178" spans="2:12" ht="15" customHeight="1">
      <c r="B178">
        <v>1676</v>
      </c>
      <c r="C178" t="s">
        <v>150</v>
      </c>
      <c r="D178" t="s">
        <v>126</v>
      </c>
      <c r="E178" t="s">
        <v>886</v>
      </c>
      <c r="F178" t="s">
        <v>1273</v>
      </c>
      <c r="G178" s="475" t="s">
        <v>1274</v>
      </c>
      <c r="H178" s="475" t="s">
        <v>1275</v>
      </c>
      <c r="I178" t="s">
        <v>835</v>
      </c>
      <c r="J178" t="s">
        <v>1276</v>
      </c>
      <c r="L178">
        <v>276097200734805</v>
      </c>
    </row>
    <row r="179" spans="2:12" ht="15" customHeight="1">
      <c r="B179">
        <v>1677</v>
      </c>
      <c r="C179" t="s">
        <v>466</v>
      </c>
      <c r="D179" t="s">
        <v>185</v>
      </c>
      <c r="E179" t="s">
        <v>886</v>
      </c>
      <c r="F179" t="s">
        <v>148</v>
      </c>
      <c r="G179" s="475" t="s">
        <v>1277</v>
      </c>
      <c r="H179" s="475" t="s">
        <v>1278</v>
      </c>
      <c r="I179" t="s">
        <v>835</v>
      </c>
      <c r="J179" t="s">
        <v>1279</v>
      </c>
      <c r="L179">
        <v>276098102839746</v>
      </c>
    </row>
    <row r="180" spans="2:10" ht="15" customHeight="1">
      <c r="B180">
        <v>1689</v>
      </c>
      <c r="C180" t="s">
        <v>1280</v>
      </c>
      <c r="D180" t="s">
        <v>732</v>
      </c>
      <c r="E180" t="s">
        <v>886</v>
      </c>
      <c r="F180" t="s">
        <v>661</v>
      </c>
      <c r="G180" s="475" t="s">
        <v>1281</v>
      </c>
      <c r="H180" s="475" t="s">
        <v>1282</v>
      </c>
      <c r="I180" t="s">
        <v>835</v>
      </c>
      <c r="J180" t="s">
        <v>1283</v>
      </c>
    </row>
    <row r="181" spans="2:10" ht="15" customHeight="1">
      <c r="B181">
        <v>1691</v>
      </c>
      <c r="C181" t="s">
        <v>1284</v>
      </c>
      <c r="D181" t="s">
        <v>123</v>
      </c>
      <c r="E181" t="s">
        <v>886</v>
      </c>
      <c r="F181" t="s">
        <v>192</v>
      </c>
      <c r="G181" s="475" t="s">
        <v>1285</v>
      </c>
      <c r="H181" s="475" t="s">
        <v>1286</v>
      </c>
      <c r="I181" t="s">
        <v>835</v>
      </c>
      <c r="J181" t="s">
        <v>1287</v>
      </c>
    </row>
    <row r="182" spans="2:12" ht="15" customHeight="1">
      <c r="B182">
        <v>1695</v>
      </c>
      <c r="C182" t="s">
        <v>1288</v>
      </c>
      <c r="D182" t="s">
        <v>131</v>
      </c>
      <c r="E182" t="s">
        <v>923</v>
      </c>
      <c r="F182" t="s">
        <v>196</v>
      </c>
      <c r="G182" s="475" t="s">
        <v>1289</v>
      </c>
      <c r="H182" s="475" t="s">
        <v>925</v>
      </c>
      <c r="I182">
        <v>435</v>
      </c>
      <c r="J182" t="s">
        <v>197</v>
      </c>
      <c r="L182">
        <v>941000013606911</v>
      </c>
    </row>
    <row r="183" spans="2:12" ht="15" customHeight="1">
      <c r="B183">
        <v>1696</v>
      </c>
      <c r="C183" t="s">
        <v>1290</v>
      </c>
      <c r="D183" t="s">
        <v>765</v>
      </c>
      <c r="E183" t="s">
        <v>931</v>
      </c>
      <c r="F183" t="s">
        <v>677</v>
      </c>
      <c r="G183" s="475" t="s">
        <v>1291</v>
      </c>
      <c r="H183" s="475" t="s">
        <v>1292</v>
      </c>
      <c r="I183">
        <v>10008</v>
      </c>
      <c r="J183" t="s">
        <v>1293</v>
      </c>
      <c r="L183">
        <v>941000012733651</v>
      </c>
    </row>
    <row r="184" spans="2:12" ht="15" customHeight="1">
      <c r="B184">
        <v>1698</v>
      </c>
      <c r="C184" t="s">
        <v>701</v>
      </c>
      <c r="D184" t="s">
        <v>172</v>
      </c>
      <c r="E184" t="s">
        <v>886</v>
      </c>
      <c r="F184" t="s">
        <v>225</v>
      </c>
      <c r="G184" s="475" t="s">
        <v>1294</v>
      </c>
      <c r="H184" s="475" t="s">
        <v>1295</v>
      </c>
      <c r="I184" t="s">
        <v>835</v>
      </c>
      <c r="J184" t="s">
        <v>1296</v>
      </c>
      <c r="L184">
        <v>276098510234149</v>
      </c>
    </row>
    <row r="185" spans="2:12" ht="15" customHeight="1">
      <c r="B185">
        <v>1699</v>
      </c>
      <c r="C185" t="s">
        <v>304</v>
      </c>
      <c r="D185" t="s">
        <v>103</v>
      </c>
      <c r="E185" t="s">
        <v>886</v>
      </c>
      <c r="F185" t="s">
        <v>225</v>
      </c>
      <c r="G185" s="475" t="s">
        <v>1297</v>
      </c>
      <c r="H185" s="475" t="s">
        <v>1298</v>
      </c>
      <c r="I185" t="s">
        <v>835</v>
      </c>
      <c r="J185" t="s">
        <v>579</v>
      </c>
      <c r="L185">
        <v>276098200018605</v>
      </c>
    </row>
    <row r="186" spans="2:12" ht="15" customHeight="1">
      <c r="B186">
        <v>1701</v>
      </c>
      <c r="C186" t="s">
        <v>1299</v>
      </c>
      <c r="D186" t="s">
        <v>1300</v>
      </c>
      <c r="E186" t="s">
        <v>886</v>
      </c>
      <c r="F186" t="s">
        <v>1301</v>
      </c>
      <c r="G186" s="475" t="s">
        <v>1302</v>
      </c>
      <c r="H186" s="475" t="s">
        <v>1303</v>
      </c>
      <c r="I186" t="s">
        <v>835</v>
      </c>
      <c r="J186" t="s">
        <v>1304</v>
      </c>
      <c r="L186">
        <v>276093400071873</v>
      </c>
    </row>
    <row r="187" spans="2:12" ht="15" customHeight="1">
      <c r="B187">
        <v>1708</v>
      </c>
      <c r="C187" t="s">
        <v>1305</v>
      </c>
      <c r="D187" t="s">
        <v>492</v>
      </c>
      <c r="E187" t="s">
        <v>886</v>
      </c>
      <c r="F187" t="s">
        <v>1306</v>
      </c>
      <c r="G187" s="475" t="s">
        <v>1165</v>
      </c>
      <c r="H187" s="475" t="s">
        <v>1307</v>
      </c>
      <c r="I187" t="s">
        <v>835</v>
      </c>
      <c r="L187">
        <v>900176000009247</v>
      </c>
    </row>
    <row r="188" spans="2:12" ht="15" customHeight="1">
      <c r="B188">
        <v>1710</v>
      </c>
      <c r="C188" t="s">
        <v>1308</v>
      </c>
      <c r="D188" t="s">
        <v>103</v>
      </c>
      <c r="E188" t="s">
        <v>899</v>
      </c>
      <c r="F188" t="s">
        <v>1309</v>
      </c>
      <c r="G188" s="475" t="s">
        <v>1310</v>
      </c>
      <c r="H188" s="475" t="s">
        <v>1311</v>
      </c>
      <c r="I188">
        <v>6304</v>
      </c>
      <c r="J188" t="s">
        <v>270</v>
      </c>
      <c r="L188">
        <v>276098104132627</v>
      </c>
    </row>
    <row r="189" spans="2:12" ht="15" customHeight="1">
      <c r="B189">
        <v>1711</v>
      </c>
      <c r="C189" t="s">
        <v>280</v>
      </c>
      <c r="D189" t="s">
        <v>126</v>
      </c>
      <c r="E189" t="s">
        <v>886</v>
      </c>
      <c r="F189" t="s">
        <v>329</v>
      </c>
      <c r="G189" s="475" t="s">
        <v>1169</v>
      </c>
      <c r="H189" s="475" t="s">
        <v>1307</v>
      </c>
      <c r="I189" t="s">
        <v>835</v>
      </c>
      <c r="J189" t="s">
        <v>378</v>
      </c>
      <c r="L189">
        <v>276098510243609</v>
      </c>
    </row>
    <row r="190" spans="2:12" ht="15" customHeight="1">
      <c r="B190">
        <v>1712</v>
      </c>
      <c r="C190" t="s">
        <v>1312</v>
      </c>
      <c r="D190" t="s">
        <v>126</v>
      </c>
      <c r="E190" t="s">
        <v>886</v>
      </c>
      <c r="F190" t="s">
        <v>1313</v>
      </c>
      <c r="G190" s="475" t="s">
        <v>1314</v>
      </c>
      <c r="H190" s="475" t="s">
        <v>973</v>
      </c>
      <c r="I190" t="s">
        <v>835</v>
      </c>
      <c r="J190" t="s">
        <v>378</v>
      </c>
      <c r="L190">
        <v>945000000894997</v>
      </c>
    </row>
    <row r="191" spans="2:12" ht="15" customHeight="1">
      <c r="B191">
        <v>1714</v>
      </c>
      <c r="C191" t="s">
        <v>121</v>
      </c>
      <c r="D191" t="s">
        <v>103</v>
      </c>
      <c r="E191" t="s">
        <v>894</v>
      </c>
      <c r="F191" t="s">
        <v>1315</v>
      </c>
      <c r="G191" s="475" t="s">
        <v>1316</v>
      </c>
      <c r="H191" s="475" t="s">
        <v>1317</v>
      </c>
      <c r="I191">
        <v>7801</v>
      </c>
      <c r="J191" t="s">
        <v>1318</v>
      </c>
      <c r="L191">
        <v>945000000887189</v>
      </c>
    </row>
    <row r="192" spans="2:12" ht="15" customHeight="1">
      <c r="B192">
        <v>1730</v>
      </c>
      <c r="C192" t="s">
        <v>1319</v>
      </c>
      <c r="D192" t="s">
        <v>122</v>
      </c>
      <c r="E192" t="s">
        <v>903</v>
      </c>
      <c r="F192" t="s">
        <v>691</v>
      </c>
      <c r="G192" s="475" t="s">
        <v>1257</v>
      </c>
      <c r="H192" s="475" t="s">
        <v>1320</v>
      </c>
      <c r="I192">
        <v>7802</v>
      </c>
      <c r="J192" t="s">
        <v>273</v>
      </c>
      <c r="L192">
        <v>276098104020448</v>
      </c>
    </row>
    <row r="193" spans="2:12" ht="15" customHeight="1">
      <c r="B193">
        <v>1734</v>
      </c>
      <c r="C193" t="s">
        <v>623</v>
      </c>
      <c r="D193" t="s">
        <v>123</v>
      </c>
      <c r="E193" t="s">
        <v>886</v>
      </c>
      <c r="F193" t="s">
        <v>481</v>
      </c>
      <c r="G193" s="475" t="s">
        <v>1321</v>
      </c>
      <c r="H193" s="475" t="s">
        <v>1322</v>
      </c>
      <c r="I193" t="s">
        <v>835</v>
      </c>
      <c r="J193" t="s">
        <v>1323</v>
      </c>
      <c r="L193">
        <v>276096901166102</v>
      </c>
    </row>
    <row r="194" spans="2:12" ht="15" customHeight="1">
      <c r="B194">
        <v>1738</v>
      </c>
      <c r="C194" t="s">
        <v>260</v>
      </c>
      <c r="D194" t="s">
        <v>154</v>
      </c>
      <c r="E194" t="s">
        <v>886</v>
      </c>
      <c r="F194" t="s">
        <v>286</v>
      </c>
      <c r="G194" s="475" t="s">
        <v>1324</v>
      </c>
      <c r="H194" s="475" t="s">
        <v>1325</v>
      </c>
      <c r="I194" t="s">
        <v>835</v>
      </c>
      <c r="J194" t="s">
        <v>731</v>
      </c>
      <c r="L194">
        <v>276098102253416</v>
      </c>
    </row>
    <row r="195" spans="2:12" ht="15" customHeight="1">
      <c r="B195">
        <v>1741</v>
      </c>
      <c r="C195" t="s">
        <v>799</v>
      </c>
      <c r="D195" t="s">
        <v>103</v>
      </c>
      <c r="E195" t="s">
        <v>886</v>
      </c>
      <c r="F195" t="s">
        <v>176</v>
      </c>
      <c r="G195" s="475" t="s">
        <v>1326</v>
      </c>
      <c r="H195" s="475" t="s">
        <v>1327</v>
      </c>
      <c r="I195" t="s">
        <v>835</v>
      </c>
      <c r="J195" t="s">
        <v>565</v>
      </c>
      <c r="L195">
        <v>276098102967751</v>
      </c>
    </row>
    <row r="196" spans="2:12" ht="15" customHeight="1">
      <c r="B196">
        <v>1745</v>
      </c>
      <c r="C196" t="s">
        <v>1328</v>
      </c>
      <c r="D196" t="s">
        <v>185</v>
      </c>
      <c r="E196" t="s">
        <v>886</v>
      </c>
      <c r="F196" t="s">
        <v>1329</v>
      </c>
      <c r="G196" s="475" t="s">
        <v>1330</v>
      </c>
      <c r="H196" s="475" t="s">
        <v>1331</v>
      </c>
      <c r="I196" t="s">
        <v>835</v>
      </c>
      <c r="J196" t="s">
        <v>1332</v>
      </c>
      <c r="L196">
        <v>276097202008684</v>
      </c>
    </row>
    <row r="197" spans="2:12" ht="15" customHeight="1">
      <c r="B197">
        <v>1753</v>
      </c>
      <c r="C197" t="s">
        <v>684</v>
      </c>
      <c r="D197" t="s">
        <v>266</v>
      </c>
      <c r="E197" t="s">
        <v>886</v>
      </c>
      <c r="F197" t="s">
        <v>176</v>
      </c>
      <c r="G197" s="475" t="s">
        <v>1333</v>
      </c>
      <c r="H197" s="475" t="s">
        <v>1334</v>
      </c>
      <c r="I197" t="s">
        <v>835</v>
      </c>
      <c r="L197">
        <v>12345678912</v>
      </c>
    </row>
    <row r="198" spans="2:9" ht="15" customHeight="1">
      <c r="B198">
        <v>1754</v>
      </c>
      <c r="C198" t="s">
        <v>683</v>
      </c>
      <c r="D198" t="s">
        <v>103</v>
      </c>
      <c r="E198" t="s">
        <v>886</v>
      </c>
      <c r="F198" t="s">
        <v>743</v>
      </c>
      <c r="G198" s="475" t="s">
        <v>1335</v>
      </c>
      <c r="H198" s="475" t="s">
        <v>985</v>
      </c>
      <c r="I198" t="s">
        <v>835</v>
      </c>
    </row>
    <row r="199" spans="2:12" ht="15" customHeight="1">
      <c r="B199">
        <v>1755</v>
      </c>
      <c r="C199" t="s">
        <v>110</v>
      </c>
      <c r="D199" t="s">
        <v>131</v>
      </c>
      <c r="E199" t="s">
        <v>894</v>
      </c>
      <c r="F199" t="s">
        <v>374</v>
      </c>
      <c r="G199" s="475" t="s">
        <v>1262</v>
      </c>
      <c r="H199" s="475" t="s">
        <v>1336</v>
      </c>
      <c r="I199">
        <v>6011</v>
      </c>
      <c r="J199" t="s">
        <v>658</v>
      </c>
      <c r="L199">
        <v>724008888107598</v>
      </c>
    </row>
    <row r="200" spans="2:12" ht="15" customHeight="1">
      <c r="B200">
        <v>1756</v>
      </c>
      <c r="C200" t="s">
        <v>1337</v>
      </c>
      <c r="D200" t="s">
        <v>103</v>
      </c>
      <c r="E200" t="s">
        <v>886</v>
      </c>
      <c r="F200" t="s">
        <v>247</v>
      </c>
      <c r="G200" s="475" t="s">
        <v>1338</v>
      </c>
      <c r="H200" s="475" t="s">
        <v>1339</v>
      </c>
      <c r="I200" t="s">
        <v>835</v>
      </c>
      <c r="J200" t="s">
        <v>598</v>
      </c>
      <c r="L200">
        <v>276098104119970</v>
      </c>
    </row>
    <row r="201" spans="2:12" ht="15" customHeight="1">
      <c r="B201">
        <v>1764</v>
      </c>
      <c r="C201" t="s">
        <v>179</v>
      </c>
      <c r="D201" t="s">
        <v>557</v>
      </c>
      <c r="E201" t="s">
        <v>914</v>
      </c>
      <c r="F201" t="s">
        <v>187</v>
      </c>
      <c r="G201" s="475" t="s">
        <v>1340</v>
      </c>
      <c r="H201" s="475" t="s">
        <v>1341</v>
      </c>
      <c r="I201">
        <v>8209</v>
      </c>
      <c r="J201" t="s">
        <v>1342</v>
      </c>
      <c r="L201">
        <v>945000000777237</v>
      </c>
    </row>
    <row r="202" spans="2:12" ht="15" customHeight="1">
      <c r="B202">
        <v>1765</v>
      </c>
      <c r="C202" t="s">
        <v>280</v>
      </c>
      <c r="D202" t="s">
        <v>1343</v>
      </c>
      <c r="E202" t="s">
        <v>886</v>
      </c>
      <c r="F202" t="s">
        <v>614</v>
      </c>
      <c r="G202" s="475" t="s">
        <v>1344</v>
      </c>
      <c r="H202" s="475" t="s">
        <v>1194</v>
      </c>
      <c r="I202" t="s">
        <v>835</v>
      </c>
      <c r="J202" t="s">
        <v>753</v>
      </c>
      <c r="L202">
        <v>276098104230075</v>
      </c>
    </row>
    <row r="203" spans="2:12" ht="15" customHeight="1">
      <c r="B203">
        <v>1767</v>
      </c>
      <c r="C203" t="s">
        <v>687</v>
      </c>
      <c r="D203" t="s">
        <v>123</v>
      </c>
      <c r="E203" t="s">
        <v>931</v>
      </c>
      <c r="F203" t="s">
        <v>614</v>
      </c>
      <c r="G203" s="475" t="s">
        <v>1345</v>
      </c>
      <c r="H203" s="475" t="s">
        <v>1062</v>
      </c>
      <c r="I203">
        <v>5512</v>
      </c>
      <c r="J203" t="s">
        <v>596</v>
      </c>
      <c r="L203">
        <v>945000000921589</v>
      </c>
    </row>
    <row r="204" spans="2:12" ht="15" customHeight="1">
      <c r="B204">
        <v>1769</v>
      </c>
      <c r="C204" t="s">
        <v>623</v>
      </c>
      <c r="D204" t="s">
        <v>126</v>
      </c>
      <c r="E204" t="s">
        <v>886</v>
      </c>
      <c r="F204" t="s">
        <v>1346</v>
      </c>
      <c r="G204" s="475" t="s">
        <v>1347</v>
      </c>
      <c r="H204" s="475" t="s">
        <v>1348</v>
      </c>
      <c r="I204" t="s">
        <v>835</v>
      </c>
      <c r="J204" t="s">
        <v>1349</v>
      </c>
      <c r="L204">
        <v>276094100155893</v>
      </c>
    </row>
    <row r="205" spans="2:12" ht="15" customHeight="1">
      <c r="B205">
        <v>1774</v>
      </c>
      <c r="C205" t="s">
        <v>1350</v>
      </c>
      <c r="D205" t="s">
        <v>122</v>
      </c>
      <c r="E205" t="s">
        <v>914</v>
      </c>
      <c r="F205" t="s">
        <v>691</v>
      </c>
      <c r="G205" s="475" t="s">
        <v>1351</v>
      </c>
      <c r="H205" s="475" t="s">
        <v>1352</v>
      </c>
      <c r="I205">
        <v>7803</v>
      </c>
      <c r="J205" t="s">
        <v>273</v>
      </c>
      <c r="L205">
        <v>276098104238967</v>
      </c>
    </row>
    <row r="206" spans="2:12" ht="15" customHeight="1">
      <c r="B206">
        <v>1784</v>
      </c>
      <c r="C206" t="s">
        <v>1353</v>
      </c>
      <c r="D206" t="s">
        <v>126</v>
      </c>
      <c r="E206" t="s">
        <v>886</v>
      </c>
      <c r="F206" t="s">
        <v>1354</v>
      </c>
      <c r="G206" s="475" t="s">
        <v>1355</v>
      </c>
      <c r="H206" s="475" t="s">
        <v>1356</v>
      </c>
      <c r="I206" t="s">
        <v>835</v>
      </c>
      <c r="J206" t="s">
        <v>747</v>
      </c>
      <c r="L206">
        <v>276093400050435</v>
      </c>
    </row>
    <row r="207" spans="2:12" ht="15" customHeight="1">
      <c r="B207">
        <v>1786</v>
      </c>
      <c r="C207" t="s">
        <v>1357</v>
      </c>
      <c r="D207" t="s">
        <v>172</v>
      </c>
      <c r="E207" t="s">
        <v>886</v>
      </c>
      <c r="F207" t="s">
        <v>187</v>
      </c>
      <c r="G207" s="475" t="s">
        <v>1358</v>
      </c>
      <c r="H207" s="475" t="s">
        <v>1359</v>
      </c>
      <c r="I207" t="s">
        <v>835</v>
      </c>
      <c r="J207" t="s">
        <v>747</v>
      </c>
      <c r="L207">
        <v>250269602078052</v>
      </c>
    </row>
    <row r="208" spans="2:12" ht="15" customHeight="1">
      <c r="B208">
        <v>1789</v>
      </c>
      <c r="C208" t="s">
        <v>1360</v>
      </c>
      <c r="D208" t="s">
        <v>126</v>
      </c>
      <c r="E208" t="s">
        <v>886</v>
      </c>
      <c r="F208" t="s">
        <v>767</v>
      </c>
      <c r="G208" s="475" t="s">
        <v>1361</v>
      </c>
      <c r="H208" s="475" t="s">
        <v>1052</v>
      </c>
      <c r="I208" t="s">
        <v>835</v>
      </c>
      <c r="J208" t="s">
        <v>1053</v>
      </c>
      <c r="L208">
        <v>276094180064841</v>
      </c>
    </row>
    <row r="209" spans="2:12" ht="15" customHeight="1">
      <c r="B209">
        <v>1791</v>
      </c>
      <c r="C209" t="s">
        <v>1362</v>
      </c>
      <c r="D209" t="s">
        <v>386</v>
      </c>
      <c r="E209" t="s">
        <v>886</v>
      </c>
      <c r="F209" t="s">
        <v>812</v>
      </c>
      <c r="G209" s="475" t="s">
        <v>1363</v>
      </c>
      <c r="H209" s="475" t="s">
        <v>1364</v>
      </c>
      <c r="I209" t="s">
        <v>835</v>
      </c>
      <c r="J209" t="s">
        <v>1365</v>
      </c>
      <c r="L209">
        <v>276096909212488</v>
      </c>
    </row>
    <row r="210" spans="2:12" ht="15" customHeight="1">
      <c r="B210">
        <v>1792</v>
      </c>
      <c r="C210" t="s">
        <v>1366</v>
      </c>
      <c r="D210" t="s">
        <v>172</v>
      </c>
      <c r="E210" t="s">
        <v>886</v>
      </c>
      <c r="F210" t="s">
        <v>507</v>
      </c>
      <c r="G210" s="475" t="s">
        <v>1367</v>
      </c>
      <c r="H210" s="475" t="s">
        <v>921</v>
      </c>
      <c r="I210" t="s">
        <v>835</v>
      </c>
      <c r="J210" t="s">
        <v>1368</v>
      </c>
      <c r="L210">
        <v>276098104802866</v>
      </c>
    </row>
    <row r="211" spans="2:12" ht="15" customHeight="1">
      <c r="B211">
        <v>1794</v>
      </c>
      <c r="C211" t="s">
        <v>703</v>
      </c>
      <c r="D211" t="s">
        <v>185</v>
      </c>
      <c r="E211" t="s">
        <v>886</v>
      </c>
      <c r="F211" t="s">
        <v>559</v>
      </c>
      <c r="G211" s="475" t="s">
        <v>1369</v>
      </c>
      <c r="H211" s="475" t="s">
        <v>1370</v>
      </c>
      <c r="I211" t="s">
        <v>835</v>
      </c>
      <c r="J211" t="s">
        <v>787</v>
      </c>
      <c r="L211">
        <v>276093400203372</v>
      </c>
    </row>
    <row r="212" spans="2:12" ht="15" customHeight="1">
      <c r="B212">
        <v>1795</v>
      </c>
      <c r="C212" t="s">
        <v>133</v>
      </c>
      <c r="D212" t="s">
        <v>123</v>
      </c>
      <c r="E212" t="s">
        <v>886</v>
      </c>
      <c r="F212" t="s">
        <v>1371</v>
      </c>
      <c r="G212" s="475" t="s">
        <v>1372</v>
      </c>
      <c r="H212" s="475" t="s">
        <v>1373</v>
      </c>
      <c r="I212" t="s">
        <v>835</v>
      </c>
      <c r="L212">
        <v>941000011964645</v>
      </c>
    </row>
    <row r="213" spans="2:12" ht="15" customHeight="1">
      <c r="B213">
        <v>1798</v>
      </c>
      <c r="C213" t="s">
        <v>655</v>
      </c>
      <c r="D213" t="s">
        <v>250</v>
      </c>
      <c r="E213" t="s">
        <v>886</v>
      </c>
      <c r="F213" t="s">
        <v>187</v>
      </c>
      <c r="G213" s="475" t="s">
        <v>1374</v>
      </c>
      <c r="H213" s="475" t="s">
        <v>1375</v>
      </c>
      <c r="I213" t="s">
        <v>835</v>
      </c>
      <c r="J213" t="s">
        <v>1376</v>
      </c>
      <c r="L213">
        <v>276097202266513</v>
      </c>
    </row>
    <row r="214" spans="2:12" ht="15" customHeight="1">
      <c r="B214">
        <v>1812</v>
      </c>
      <c r="C214" t="s">
        <v>1377</v>
      </c>
      <c r="D214" t="s">
        <v>813</v>
      </c>
      <c r="E214" t="s">
        <v>886</v>
      </c>
      <c r="F214" t="s">
        <v>331</v>
      </c>
      <c r="G214" s="475" t="s">
        <v>1160</v>
      </c>
      <c r="H214" s="475" t="s">
        <v>1378</v>
      </c>
      <c r="I214" t="s">
        <v>835</v>
      </c>
      <c r="J214" t="s">
        <v>766</v>
      </c>
      <c r="L214">
        <v>276098104268969</v>
      </c>
    </row>
    <row r="215" spans="2:12" ht="15" customHeight="1">
      <c r="B215">
        <v>1816</v>
      </c>
      <c r="C215" t="s">
        <v>524</v>
      </c>
      <c r="D215" t="s">
        <v>449</v>
      </c>
      <c r="E215" t="s">
        <v>886</v>
      </c>
      <c r="F215" t="s">
        <v>1379</v>
      </c>
      <c r="G215" s="475" t="s">
        <v>1380</v>
      </c>
      <c r="H215" s="475" t="s">
        <v>1381</v>
      </c>
      <c r="I215" t="s">
        <v>835</v>
      </c>
      <c r="J215" t="s">
        <v>1382</v>
      </c>
      <c r="L215">
        <v>276098104175809</v>
      </c>
    </row>
    <row r="216" spans="2:12" ht="15" customHeight="1">
      <c r="B216">
        <v>1818</v>
      </c>
      <c r="C216" t="s">
        <v>117</v>
      </c>
      <c r="D216" t="s">
        <v>224</v>
      </c>
      <c r="E216" t="s">
        <v>886</v>
      </c>
      <c r="F216" t="s">
        <v>202</v>
      </c>
      <c r="G216" s="475" t="s">
        <v>1383</v>
      </c>
      <c r="H216" s="475" t="s">
        <v>1384</v>
      </c>
      <c r="I216" t="s">
        <v>835</v>
      </c>
      <c r="J216" t="s">
        <v>421</v>
      </c>
      <c r="L216">
        <v>276098102869895</v>
      </c>
    </row>
    <row r="217" spans="2:12" ht="15" customHeight="1">
      <c r="B217">
        <v>1819</v>
      </c>
      <c r="C217" t="s">
        <v>127</v>
      </c>
      <c r="D217" t="s">
        <v>1385</v>
      </c>
      <c r="E217" t="s">
        <v>886</v>
      </c>
      <c r="F217" t="s">
        <v>383</v>
      </c>
      <c r="G217" s="475" t="s">
        <v>1386</v>
      </c>
      <c r="H217" s="475" t="s">
        <v>1220</v>
      </c>
      <c r="I217" t="s">
        <v>835</v>
      </c>
      <c r="J217" t="s">
        <v>581</v>
      </c>
      <c r="L217">
        <v>276098104204514</v>
      </c>
    </row>
    <row r="218" spans="2:12" ht="15" customHeight="1">
      <c r="B218">
        <v>1820</v>
      </c>
      <c r="C218" t="s">
        <v>417</v>
      </c>
      <c r="D218" t="s">
        <v>224</v>
      </c>
      <c r="E218" t="s">
        <v>886</v>
      </c>
      <c r="F218" t="s">
        <v>278</v>
      </c>
      <c r="G218" s="475" t="s">
        <v>1383</v>
      </c>
      <c r="H218" s="475" t="s">
        <v>1220</v>
      </c>
      <c r="I218" t="s">
        <v>835</v>
      </c>
      <c r="J218" t="s">
        <v>1387</v>
      </c>
      <c r="L218">
        <v>296098104406288</v>
      </c>
    </row>
    <row r="219" spans="2:12" ht="15" customHeight="1">
      <c r="B219">
        <v>1824</v>
      </c>
      <c r="C219" t="s">
        <v>1388</v>
      </c>
      <c r="D219" t="s">
        <v>103</v>
      </c>
      <c r="E219" t="s">
        <v>886</v>
      </c>
      <c r="F219" t="s">
        <v>670</v>
      </c>
      <c r="G219" s="475" t="s">
        <v>1389</v>
      </c>
      <c r="H219" s="475" t="s">
        <v>1155</v>
      </c>
      <c r="I219" t="s">
        <v>835</v>
      </c>
      <c r="J219" t="s">
        <v>1390</v>
      </c>
      <c r="L219">
        <v>276093400110240</v>
      </c>
    </row>
    <row r="220" spans="2:12" ht="15" customHeight="1">
      <c r="B220">
        <v>1826</v>
      </c>
      <c r="C220" t="s">
        <v>223</v>
      </c>
      <c r="D220" t="s">
        <v>185</v>
      </c>
      <c r="E220" t="s">
        <v>886</v>
      </c>
      <c r="F220" t="s">
        <v>269</v>
      </c>
      <c r="G220" s="475" t="s">
        <v>1391</v>
      </c>
      <c r="H220" s="475" t="s">
        <v>1067</v>
      </c>
      <c r="I220" t="s">
        <v>835</v>
      </c>
      <c r="J220" t="s">
        <v>484</v>
      </c>
      <c r="L220">
        <v>27609601063364</v>
      </c>
    </row>
    <row r="221" spans="2:12" ht="15" customHeight="1">
      <c r="B221">
        <v>1837</v>
      </c>
      <c r="C221" t="s">
        <v>1392</v>
      </c>
      <c r="D221" t="s">
        <v>103</v>
      </c>
      <c r="E221" t="s">
        <v>886</v>
      </c>
      <c r="F221" t="s">
        <v>359</v>
      </c>
      <c r="G221" s="475" t="s">
        <v>1393</v>
      </c>
      <c r="H221" s="475" t="s">
        <v>1394</v>
      </c>
      <c r="I221" t="s">
        <v>835</v>
      </c>
      <c r="J221" t="s">
        <v>1395</v>
      </c>
      <c r="L221">
        <v>276094180011966</v>
      </c>
    </row>
    <row r="222" spans="2:12" ht="15" customHeight="1">
      <c r="B222">
        <v>1841</v>
      </c>
      <c r="C222" t="s">
        <v>390</v>
      </c>
      <c r="D222" t="s">
        <v>492</v>
      </c>
      <c r="E222" t="s">
        <v>886</v>
      </c>
      <c r="F222" t="s">
        <v>730</v>
      </c>
      <c r="G222" s="475" t="s">
        <v>1396</v>
      </c>
      <c r="H222" s="475" t="s">
        <v>1397</v>
      </c>
      <c r="I222" t="s">
        <v>835</v>
      </c>
      <c r="J222" t="s">
        <v>1398</v>
      </c>
      <c r="L222">
        <v>276098102960560</v>
      </c>
    </row>
    <row r="223" spans="2:12" ht="15" customHeight="1">
      <c r="B223">
        <v>1847</v>
      </c>
      <c r="C223" t="s">
        <v>179</v>
      </c>
      <c r="D223" t="s">
        <v>103</v>
      </c>
      <c r="E223" t="s">
        <v>886</v>
      </c>
      <c r="F223" t="s">
        <v>442</v>
      </c>
      <c r="G223" s="475" t="s">
        <v>1399</v>
      </c>
      <c r="H223" s="475" t="s">
        <v>1400</v>
      </c>
      <c r="I223" t="s">
        <v>835</v>
      </c>
      <c r="J223" t="s">
        <v>1401</v>
      </c>
      <c r="L223">
        <v>276096900329264</v>
      </c>
    </row>
    <row r="224" spans="2:12" ht="15" customHeight="1">
      <c r="B224">
        <v>1848</v>
      </c>
      <c r="C224" t="s">
        <v>1402</v>
      </c>
      <c r="D224" t="s">
        <v>103</v>
      </c>
      <c r="E224" t="s">
        <v>894</v>
      </c>
      <c r="F224" t="s">
        <v>1403</v>
      </c>
      <c r="G224" s="475" t="s">
        <v>1310</v>
      </c>
      <c r="H224" s="475" t="s">
        <v>1404</v>
      </c>
      <c r="I224">
        <v>6309</v>
      </c>
      <c r="J224" t="s">
        <v>1405</v>
      </c>
      <c r="L224">
        <v>276098104135629</v>
      </c>
    </row>
    <row r="225" spans="2:12" ht="15" customHeight="1">
      <c r="B225">
        <v>1849</v>
      </c>
      <c r="C225" t="s">
        <v>1406</v>
      </c>
      <c r="D225" t="s">
        <v>131</v>
      </c>
      <c r="E225" t="s">
        <v>931</v>
      </c>
      <c r="F225" t="s">
        <v>381</v>
      </c>
      <c r="G225" s="475" t="s">
        <v>1407</v>
      </c>
      <c r="H225" s="475" t="s">
        <v>1408</v>
      </c>
      <c r="I225">
        <v>5510</v>
      </c>
      <c r="J225" t="s">
        <v>1409</v>
      </c>
      <c r="L225">
        <v>276097200986629</v>
      </c>
    </row>
    <row r="226" spans="2:12" ht="15" customHeight="1">
      <c r="B226">
        <v>1850</v>
      </c>
      <c r="C226" t="s">
        <v>457</v>
      </c>
      <c r="D226" t="s">
        <v>123</v>
      </c>
      <c r="E226" t="s">
        <v>886</v>
      </c>
      <c r="F226" t="s">
        <v>1410</v>
      </c>
      <c r="G226" s="475" t="s">
        <v>1411</v>
      </c>
      <c r="H226" s="475" t="s">
        <v>1048</v>
      </c>
      <c r="I226" t="s">
        <v>835</v>
      </c>
      <c r="J226" t="s">
        <v>201</v>
      </c>
      <c r="L226">
        <v>276098102966852</v>
      </c>
    </row>
    <row r="227" spans="2:12" ht="15" customHeight="1">
      <c r="B227">
        <v>1851</v>
      </c>
      <c r="C227" t="s">
        <v>1412</v>
      </c>
      <c r="D227" t="s">
        <v>123</v>
      </c>
      <c r="E227" t="s">
        <v>886</v>
      </c>
      <c r="F227" t="s">
        <v>184</v>
      </c>
      <c r="G227" s="475" t="s">
        <v>1413</v>
      </c>
      <c r="H227" s="475" t="s">
        <v>1414</v>
      </c>
      <c r="I227" t="s">
        <v>835</v>
      </c>
      <c r="J227" t="s">
        <v>1415</v>
      </c>
      <c r="L227">
        <v>276098104186213</v>
      </c>
    </row>
    <row r="228" spans="2:12" ht="15" customHeight="1">
      <c r="B228">
        <v>1855</v>
      </c>
      <c r="C228" t="s">
        <v>1416</v>
      </c>
      <c r="D228" t="s">
        <v>131</v>
      </c>
      <c r="E228" t="s">
        <v>899</v>
      </c>
      <c r="F228" t="s">
        <v>269</v>
      </c>
      <c r="G228" s="475" t="s">
        <v>1417</v>
      </c>
      <c r="H228" s="475" t="s">
        <v>1418</v>
      </c>
      <c r="I228">
        <v>6802</v>
      </c>
      <c r="J228" t="s">
        <v>637</v>
      </c>
      <c r="L228">
        <v>981098102973669</v>
      </c>
    </row>
    <row r="229" spans="2:12" ht="15" customHeight="1">
      <c r="B229">
        <v>1857</v>
      </c>
      <c r="C229" t="s">
        <v>1419</v>
      </c>
      <c r="D229" t="s">
        <v>103</v>
      </c>
      <c r="E229" t="s">
        <v>894</v>
      </c>
      <c r="F229" t="s">
        <v>1420</v>
      </c>
      <c r="G229" s="475" t="s">
        <v>1421</v>
      </c>
      <c r="H229" s="475" t="s">
        <v>1422</v>
      </c>
      <c r="I229">
        <v>8107</v>
      </c>
      <c r="J229" t="s">
        <v>1423</v>
      </c>
      <c r="L229">
        <v>276098104335430</v>
      </c>
    </row>
    <row r="230" spans="2:12" ht="15" customHeight="1">
      <c r="B230">
        <v>1862</v>
      </c>
      <c r="C230" t="s">
        <v>119</v>
      </c>
      <c r="D230" t="s">
        <v>1424</v>
      </c>
      <c r="E230" t="s">
        <v>894</v>
      </c>
      <c r="F230" t="s">
        <v>651</v>
      </c>
      <c r="G230" s="475" t="s">
        <v>1425</v>
      </c>
      <c r="H230" s="475" t="s">
        <v>1426</v>
      </c>
      <c r="I230">
        <v>7901</v>
      </c>
      <c r="J230" t="s">
        <v>1427</v>
      </c>
      <c r="L230">
        <v>939000010066218</v>
      </c>
    </row>
    <row r="231" spans="2:12" ht="15" customHeight="1">
      <c r="B231">
        <v>1863</v>
      </c>
      <c r="C231" t="s">
        <v>1428</v>
      </c>
      <c r="D231" t="s">
        <v>347</v>
      </c>
      <c r="E231" t="s">
        <v>894</v>
      </c>
      <c r="F231" t="s">
        <v>378</v>
      </c>
      <c r="G231" s="475" t="s">
        <v>1429</v>
      </c>
      <c r="H231" s="475" t="s">
        <v>1225</v>
      </c>
      <c r="I231" t="s">
        <v>836</v>
      </c>
      <c r="J231" t="s">
        <v>797</v>
      </c>
      <c r="L231">
        <v>276093400173530</v>
      </c>
    </row>
    <row r="232" spans="2:12" ht="15" customHeight="1">
      <c r="B232">
        <v>1864</v>
      </c>
      <c r="C232" t="s">
        <v>1430</v>
      </c>
      <c r="D232" t="s">
        <v>103</v>
      </c>
      <c r="E232" t="s">
        <v>886</v>
      </c>
      <c r="F232" t="s">
        <v>1431</v>
      </c>
      <c r="G232" s="475" t="s">
        <v>1432</v>
      </c>
      <c r="H232" s="475" t="s">
        <v>1268</v>
      </c>
      <c r="I232" t="s">
        <v>835</v>
      </c>
      <c r="J232" t="s">
        <v>1246</v>
      </c>
      <c r="L232">
        <v>276098104569861</v>
      </c>
    </row>
    <row r="233" spans="2:12" ht="15" customHeight="1">
      <c r="B233">
        <v>1883</v>
      </c>
      <c r="C233" t="s">
        <v>639</v>
      </c>
      <c r="D233" t="s">
        <v>126</v>
      </c>
      <c r="E233" t="s">
        <v>894</v>
      </c>
      <c r="F233" t="s">
        <v>330</v>
      </c>
      <c r="G233" s="475" t="s">
        <v>1433</v>
      </c>
      <c r="H233" s="475" t="s">
        <v>1434</v>
      </c>
      <c r="I233">
        <v>8901</v>
      </c>
      <c r="J233" t="s">
        <v>1435</v>
      </c>
      <c r="L233">
        <v>276094180035780</v>
      </c>
    </row>
    <row r="234" spans="2:12" ht="15" customHeight="1">
      <c r="B234">
        <v>1886</v>
      </c>
      <c r="C234" t="s">
        <v>1436</v>
      </c>
      <c r="D234" t="s">
        <v>424</v>
      </c>
      <c r="E234" t="s">
        <v>886</v>
      </c>
      <c r="F234" t="s">
        <v>319</v>
      </c>
      <c r="G234" s="475" t="s">
        <v>1437</v>
      </c>
      <c r="H234" s="475" t="s">
        <v>1438</v>
      </c>
      <c r="I234" t="s">
        <v>835</v>
      </c>
      <c r="J234" t="s">
        <v>1439</v>
      </c>
      <c r="L234">
        <v>276098102461366</v>
      </c>
    </row>
    <row r="235" spans="2:12" ht="15" customHeight="1">
      <c r="B235">
        <v>1901</v>
      </c>
      <c r="C235" t="s">
        <v>1440</v>
      </c>
      <c r="D235" t="s">
        <v>521</v>
      </c>
      <c r="E235" t="s">
        <v>928</v>
      </c>
      <c r="F235" t="s">
        <v>483</v>
      </c>
      <c r="G235" s="475" t="s">
        <v>1441</v>
      </c>
      <c r="H235" s="475" t="s">
        <v>1442</v>
      </c>
      <c r="I235">
        <v>4307</v>
      </c>
      <c r="L235">
        <v>276098104273680</v>
      </c>
    </row>
    <row r="236" spans="2:12" ht="15" customHeight="1">
      <c r="B236">
        <v>1903</v>
      </c>
      <c r="C236" t="s">
        <v>1443</v>
      </c>
      <c r="D236" t="s">
        <v>103</v>
      </c>
      <c r="E236" t="s">
        <v>886</v>
      </c>
      <c r="F236" t="s">
        <v>318</v>
      </c>
      <c r="G236" s="475" t="s">
        <v>1444</v>
      </c>
      <c r="H236" s="475" t="s">
        <v>1445</v>
      </c>
      <c r="I236" t="s">
        <v>835</v>
      </c>
      <c r="J236" t="s">
        <v>602</v>
      </c>
      <c r="L236">
        <v>276098104160792</v>
      </c>
    </row>
    <row r="237" spans="2:12" ht="15" customHeight="1">
      <c r="B237">
        <v>1904</v>
      </c>
      <c r="C237" t="s">
        <v>127</v>
      </c>
      <c r="D237" t="s">
        <v>103</v>
      </c>
      <c r="E237" t="s">
        <v>886</v>
      </c>
      <c r="F237" t="s">
        <v>569</v>
      </c>
      <c r="G237" s="475" t="s">
        <v>1444</v>
      </c>
      <c r="H237" s="475" t="s">
        <v>1446</v>
      </c>
      <c r="I237" t="s">
        <v>835</v>
      </c>
      <c r="J237" t="s">
        <v>630</v>
      </c>
      <c r="L237">
        <v>276098104120131</v>
      </c>
    </row>
    <row r="238" spans="2:12" ht="15" customHeight="1">
      <c r="B238">
        <v>1906</v>
      </c>
      <c r="C238" t="s">
        <v>1447</v>
      </c>
      <c r="D238" t="s">
        <v>103</v>
      </c>
      <c r="E238" t="s">
        <v>894</v>
      </c>
      <c r="F238" t="s">
        <v>1448</v>
      </c>
      <c r="G238" s="475" t="s">
        <v>1449</v>
      </c>
      <c r="H238" s="475" t="s">
        <v>1450</v>
      </c>
      <c r="I238">
        <v>3611</v>
      </c>
      <c r="J238" t="s">
        <v>181</v>
      </c>
      <c r="L238">
        <v>276096100294265</v>
      </c>
    </row>
    <row r="239" spans="2:12" ht="15" customHeight="1">
      <c r="B239">
        <v>1912</v>
      </c>
      <c r="C239" t="s">
        <v>511</v>
      </c>
      <c r="D239" t="s">
        <v>131</v>
      </c>
      <c r="E239" t="s">
        <v>886</v>
      </c>
      <c r="F239" t="s">
        <v>202</v>
      </c>
      <c r="G239" s="475" t="s">
        <v>1451</v>
      </c>
      <c r="H239" s="475" t="s">
        <v>1452</v>
      </c>
      <c r="I239" t="s">
        <v>835</v>
      </c>
      <c r="J239" t="s">
        <v>660</v>
      </c>
      <c r="L239">
        <v>945000000245074</v>
      </c>
    </row>
    <row r="240" spans="2:12" ht="15" customHeight="1">
      <c r="B240">
        <v>1915</v>
      </c>
      <c r="C240" t="s">
        <v>393</v>
      </c>
      <c r="D240" t="s">
        <v>224</v>
      </c>
      <c r="E240" t="s">
        <v>886</v>
      </c>
      <c r="F240" t="s">
        <v>269</v>
      </c>
      <c r="G240" s="475" t="s">
        <v>1453</v>
      </c>
      <c r="H240" s="475" t="s">
        <v>1454</v>
      </c>
      <c r="I240" t="s">
        <v>835</v>
      </c>
      <c r="J240" t="s">
        <v>1455</v>
      </c>
      <c r="L240">
        <v>276098104007194</v>
      </c>
    </row>
    <row r="241" spans="2:12" ht="15" customHeight="1">
      <c r="B241">
        <v>1916</v>
      </c>
      <c r="C241" t="s">
        <v>723</v>
      </c>
      <c r="D241" t="s">
        <v>123</v>
      </c>
      <c r="E241" t="s">
        <v>886</v>
      </c>
      <c r="F241" t="s">
        <v>383</v>
      </c>
      <c r="G241" s="475" t="s">
        <v>1456</v>
      </c>
      <c r="H241" s="475" t="s">
        <v>1457</v>
      </c>
      <c r="I241" t="s">
        <v>835</v>
      </c>
      <c r="J241" t="s">
        <v>1458</v>
      </c>
      <c r="L241">
        <v>900062000083361</v>
      </c>
    </row>
    <row r="242" spans="2:12" ht="15" customHeight="1">
      <c r="B242">
        <v>1923</v>
      </c>
      <c r="C242" t="s">
        <v>243</v>
      </c>
      <c r="D242" t="s">
        <v>126</v>
      </c>
      <c r="E242" t="s">
        <v>886</v>
      </c>
      <c r="F242" t="s">
        <v>1459</v>
      </c>
      <c r="G242" s="475" t="s">
        <v>1460</v>
      </c>
      <c r="H242" s="475" t="s">
        <v>1461</v>
      </c>
      <c r="I242" t="s">
        <v>835</v>
      </c>
      <c r="J242" t="s">
        <v>364</v>
      </c>
      <c r="L242">
        <v>276097202128794</v>
      </c>
    </row>
    <row r="243" spans="2:12" ht="15" customHeight="1">
      <c r="B243">
        <v>1924</v>
      </c>
      <c r="C243" t="s">
        <v>363</v>
      </c>
      <c r="D243" t="s">
        <v>360</v>
      </c>
      <c r="E243" t="s">
        <v>886</v>
      </c>
      <c r="F243" t="s">
        <v>1462</v>
      </c>
      <c r="G243" s="475" t="s">
        <v>1463</v>
      </c>
      <c r="H243" s="475" t="s">
        <v>1461</v>
      </c>
      <c r="I243" t="s">
        <v>835</v>
      </c>
      <c r="J243" t="s">
        <v>364</v>
      </c>
      <c r="L243">
        <v>276098100897911</v>
      </c>
    </row>
    <row r="244" spans="2:12" ht="15" customHeight="1">
      <c r="B244">
        <v>1931</v>
      </c>
      <c r="C244" t="s">
        <v>194</v>
      </c>
      <c r="D244" t="s">
        <v>103</v>
      </c>
      <c r="E244" t="s">
        <v>886</v>
      </c>
      <c r="F244" t="s">
        <v>1464</v>
      </c>
      <c r="G244" s="475" t="s">
        <v>1465</v>
      </c>
      <c r="H244" s="475" t="s">
        <v>1466</v>
      </c>
      <c r="I244" t="s">
        <v>835</v>
      </c>
      <c r="J244" t="s">
        <v>1467</v>
      </c>
      <c r="L244">
        <v>40096100116648</v>
      </c>
    </row>
    <row r="245" spans="2:12" ht="15" customHeight="1">
      <c r="B245">
        <v>1937</v>
      </c>
      <c r="C245" t="s">
        <v>196</v>
      </c>
      <c r="D245" t="s">
        <v>1468</v>
      </c>
      <c r="E245" t="s">
        <v>886</v>
      </c>
      <c r="F245" t="s">
        <v>1469</v>
      </c>
      <c r="G245" s="475" t="s">
        <v>1344</v>
      </c>
      <c r="H245" s="475" t="s">
        <v>1470</v>
      </c>
      <c r="I245" t="s">
        <v>835</v>
      </c>
      <c r="J245" t="s">
        <v>1471</v>
      </c>
      <c r="L245">
        <v>276098104229502</v>
      </c>
    </row>
    <row r="246" spans="2:12" ht="15" customHeight="1">
      <c r="B246">
        <v>1938</v>
      </c>
      <c r="C246" t="s">
        <v>1472</v>
      </c>
      <c r="D246" t="s">
        <v>123</v>
      </c>
      <c r="E246" t="s">
        <v>886</v>
      </c>
      <c r="F246" t="s">
        <v>1473</v>
      </c>
      <c r="G246" s="475" t="s">
        <v>1474</v>
      </c>
      <c r="H246" s="475" t="s">
        <v>1090</v>
      </c>
      <c r="I246" t="s">
        <v>835</v>
      </c>
      <c r="L246">
        <v>945000000082148</v>
      </c>
    </row>
    <row r="247" spans="2:12" ht="15" customHeight="1">
      <c r="B247">
        <v>1940</v>
      </c>
      <c r="C247" t="s">
        <v>1475</v>
      </c>
      <c r="D247" t="s">
        <v>126</v>
      </c>
      <c r="E247" t="s">
        <v>886</v>
      </c>
      <c r="F247" t="s">
        <v>263</v>
      </c>
      <c r="G247" s="475" t="s">
        <v>1476</v>
      </c>
      <c r="H247" s="475" t="s">
        <v>1143</v>
      </c>
      <c r="I247" t="s">
        <v>835</v>
      </c>
      <c r="J247" t="s">
        <v>1477</v>
      </c>
      <c r="L247">
        <v>276094180007161</v>
      </c>
    </row>
    <row r="248" spans="2:12" ht="15" customHeight="1">
      <c r="B248">
        <v>1943</v>
      </c>
      <c r="C248" t="s">
        <v>1478</v>
      </c>
      <c r="D248" t="s">
        <v>131</v>
      </c>
      <c r="E248" t="s">
        <v>886</v>
      </c>
      <c r="F248" t="s">
        <v>1479</v>
      </c>
      <c r="G248" s="475" t="s">
        <v>1239</v>
      </c>
      <c r="H248" s="475" t="s">
        <v>1480</v>
      </c>
      <c r="I248" t="s">
        <v>835</v>
      </c>
      <c r="L248">
        <v>276094180040830</v>
      </c>
    </row>
    <row r="249" spans="2:12" ht="15" customHeight="1">
      <c r="B249">
        <v>1945</v>
      </c>
      <c r="C249" t="s">
        <v>137</v>
      </c>
      <c r="D249" t="s">
        <v>746</v>
      </c>
      <c r="E249" t="s">
        <v>886</v>
      </c>
      <c r="F249" t="s">
        <v>1481</v>
      </c>
      <c r="G249" s="475" t="s">
        <v>1482</v>
      </c>
      <c r="H249" s="475" t="s">
        <v>1113</v>
      </c>
      <c r="I249" t="s">
        <v>835</v>
      </c>
      <c r="L249">
        <v>276098104473227</v>
      </c>
    </row>
    <row r="250" spans="2:12" ht="15" customHeight="1">
      <c r="B250">
        <v>1946</v>
      </c>
      <c r="C250" t="s">
        <v>1483</v>
      </c>
      <c r="D250" t="s">
        <v>126</v>
      </c>
      <c r="E250" t="s">
        <v>894</v>
      </c>
      <c r="F250" t="s">
        <v>227</v>
      </c>
      <c r="G250" s="475" t="s">
        <v>1484</v>
      </c>
      <c r="H250" s="475" t="s">
        <v>1153</v>
      </c>
      <c r="I250">
        <v>7611</v>
      </c>
      <c r="J250" t="s">
        <v>706</v>
      </c>
      <c r="L250">
        <v>276094180041634</v>
      </c>
    </row>
    <row r="251" spans="2:12" ht="15" customHeight="1">
      <c r="B251">
        <v>1947</v>
      </c>
      <c r="C251" t="s">
        <v>1485</v>
      </c>
      <c r="D251" t="s">
        <v>126</v>
      </c>
      <c r="E251" t="s">
        <v>886</v>
      </c>
      <c r="F251" t="s">
        <v>438</v>
      </c>
      <c r="G251" s="475" t="s">
        <v>1484</v>
      </c>
      <c r="H251" s="475" t="s">
        <v>1486</v>
      </c>
      <c r="I251" t="s">
        <v>835</v>
      </c>
      <c r="J251" t="s">
        <v>1487</v>
      </c>
      <c r="L251">
        <v>276094180069765</v>
      </c>
    </row>
    <row r="252" spans="2:12" ht="15" customHeight="1">
      <c r="B252">
        <v>1949</v>
      </c>
      <c r="C252" t="s">
        <v>1488</v>
      </c>
      <c r="D252" t="s">
        <v>567</v>
      </c>
      <c r="E252" t="s">
        <v>894</v>
      </c>
      <c r="F252" t="s">
        <v>1489</v>
      </c>
      <c r="G252" s="475" t="s">
        <v>1490</v>
      </c>
      <c r="H252" s="475" t="s">
        <v>1095</v>
      </c>
      <c r="I252">
        <v>7007</v>
      </c>
      <c r="J252" t="s">
        <v>1491</v>
      </c>
      <c r="L252">
        <v>276096901120141</v>
      </c>
    </row>
    <row r="253" spans="2:12" ht="15" customHeight="1">
      <c r="B253">
        <v>1961</v>
      </c>
      <c r="C253" t="s">
        <v>428</v>
      </c>
      <c r="D253" t="s">
        <v>580</v>
      </c>
      <c r="E253" t="s">
        <v>931</v>
      </c>
      <c r="F253" t="s">
        <v>1492</v>
      </c>
      <c r="G253" s="475" t="s">
        <v>1493</v>
      </c>
      <c r="H253" s="475" t="s">
        <v>1494</v>
      </c>
      <c r="I253">
        <v>8211</v>
      </c>
      <c r="J253" t="s">
        <v>702</v>
      </c>
      <c r="L253">
        <v>276098104305297</v>
      </c>
    </row>
    <row r="254" spans="2:12" ht="15" customHeight="1">
      <c r="B254">
        <v>1962</v>
      </c>
      <c r="C254" t="s">
        <v>511</v>
      </c>
      <c r="D254" t="s">
        <v>313</v>
      </c>
      <c r="E254" t="s">
        <v>931</v>
      </c>
      <c r="F254" t="s">
        <v>1495</v>
      </c>
      <c r="G254" s="475" t="s">
        <v>1482</v>
      </c>
      <c r="H254" s="475" t="s">
        <v>1496</v>
      </c>
      <c r="I254">
        <v>8210</v>
      </c>
      <c r="J254" t="s">
        <v>1497</v>
      </c>
      <c r="L254">
        <v>276093400279451</v>
      </c>
    </row>
    <row r="255" spans="2:12" ht="15" customHeight="1">
      <c r="B255">
        <v>1965</v>
      </c>
      <c r="C255" t="s">
        <v>1498</v>
      </c>
      <c r="D255" t="s">
        <v>1015</v>
      </c>
      <c r="E255" t="s">
        <v>899</v>
      </c>
      <c r="F255" t="s">
        <v>1499</v>
      </c>
      <c r="G255" s="475" t="s">
        <v>1500</v>
      </c>
      <c r="H255" s="475" t="s">
        <v>1501</v>
      </c>
      <c r="I255">
        <v>4511</v>
      </c>
      <c r="J255" t="s">
        <v>1502</v>
      </c>
      <c r="L255">
        <v>900176000053435</v>
      </c>
    </row>
    <row r="256" spans="2:12" ht="15" customHeight="1">
      <c r="B256">
        <v>1972</v>
      </c>
      <c r="C256" t="s">
        <v>1503</v>
      </c>
      <c r="D256" t="s">
        <v>422</v>
      </c>
      <c r="E256" t="s">
        <v>903</v>
      </c>
      <c r="F256" t="s">
        <v>368</v>
      </c>
      <c r="G256" s="475" t="s">
        <v>1504</v>
      </c>
      <c r="H256" s="475" t="s">
        <v>1505</v>
      </c>
      <c r="I256">
        <v>10011</v>
      </c>
      <c r="J256" t="s">
        <v>1506</v>
      </c>
      <c r="L256">
        <v>981100002581176</v>
      </c>
    </row>
    <row r="257" spans="2:12" ht="15" customHeight="1">
      <c r="B257">
        <v>1983</v>
      </c>
      <c r="C257" t="s">
        <v>150</v>
      </c>
      <c r="D257" t="s">
        <v>126</v>
      </c>
      <c r="E257" t="s">
        <v>886</v>
      </c>
      <c r="F257" t="s">
        <v>307</v>
      </c>
      <c r="G257" s="475" t="s">
        <v>1507</v>
      </c>
      <c r="H257" s="475" t="s">
        <v>1508</v>
      </c>
      <c r="I257" t="s">
        <v>835</v>
      </c>
      <c r="J257" t="s">
        <v>1509</v>
      </c>
      <c r="L257">
        <v>941000002421581</v>
      </c>
    </row>
    <row r="258" spans="2:12" ht="15" customHeight="1">
      <c r="B258">
        <v>1984</v>
      </c>
      <c r="C258" t="s">
        <v>118</v>
      </c>
      <c r="D258" t="s">
        <v>1510</v>
      </c>
      <c r="E258" t="s">
        <v>886</v>
      </c>
      <c r="F258" t="s">
        <v>256</v>
      </c>
      <c r="G258" s="475" t="s">
        <v>1511</v>
      </c>
      <c r="H258" s="475" t="s">
        <v>1512</v>
      </c>
      <c r="I258" t="s">
        <v>835</v>
      </c>
      <c r="J258" t="s">
        <v>737</v>
      </c>
      <c r="L258">
        <v>276096901169114</v>
      </c>
    </row>
    <row r="259" spans="2:12" ht="15" customHeight="1">
      <c r="B259">
        <v>1991</v>
      </c>
      <c r="C259" t="s">
        <v>1513</v>
      </c>
      <c r="D259" t="s">
        <v>1514</v>
      </c>
      <c r="E259" t="s">
        <v>928</v>
      </c>
      <c r="F259" t="s">
        <v>1515</v>
      </c>
      <c r="G259" s="475" t="s">
        <v>1516</v>
      </c>
      <c r="H259" s="475" t="s">
        <v>1517</v>
      </c>
      <c r="I259">
        <v>8005</v>
      </c>
      <c r="J259" t="s">
        <v>1518</v>
      </c>
      <c r="L259">
        <v>276097202299023</v>
      </c>
    </row>
    <row r="260" spans="2:12" ht="15" customHeight="1">
      <c r="B260">
        <v>1993</v>
      </c>
      <c r="C260" t="s">
        <v>132</v>
      </c>
      <c r="D260" t="s">
        <v>310</v>
      </c>
      <c r="E260" t="s">
        <v>886</v>
      </c>
      <c r="F260" t="s">
        <v>331</v>
      </c>
      <c r="G260" s="475" t="s">
        <v>1519</v>
      </c>
      <c r="H260" s="475" t="s">
        <v>1381</v>
      </c>
      <c r="I260" t="s">
        <v>835</v>
      </c>
      <c r="J260" t="s">
        <v>1520</v>
      </c>
      <c r="L260">
        <v>276098104269585</v>
      </c>
    </row>
    <row r="261" spans="2:12" ht="15" customHeight="1">
      <c r="B261">
        <v>1995</v>
      </c>
      <c r="C261" t="s">
        <v>285</v>
      </c>
      <c r="D261" t="s">
        <v>207</v>
      </c>
      <c r="E261" t="s">
        <v>931</v>
      </c>
      <c r="F261" t="s">
        <v>1258</v>
      </c>
      <c r="G261" s="475" t="s">
        <v>1521</v>
      </c>
      <c r="H261" s="475" t="s">
        <v>1003</v>
      </c>
      <c r="I261">
        <v>8008</v>
      </c>
      <c r="J261" t="s">
        <v>1522</v>
      </c>
      <c r="L261">
        <v>276098510201384</v>
      </c>
    </row>
    <row r="262" spans="2:12" ht="15" customHeight="1">
      <c r="B262">
        <v>1998</v>
      </c>
      <c r="C262" t="s">
        <v>1523</v>
      </c>
      <c r="D262" t="s">
        <v>126</v>
      </c>
      <c r="E262" t="s">
        <v>886</v>
      </c>
      <c r="F262" t="s">
        <v>569</v>
      </c>
      <c r="G262" s="475" t="s">
        <v>1524</v>
      </c>
      <c r="H262" s="475" t="s">
        <v>1525</v>
      </c>
      <c r="I262" t="s">
        <v>835</v>
      </c>
      <c r="J262" t="s">
        <v>1526</v>
      </c>
      <c r="L262">
        <v>276093400333000</v>
      </c>
    </row>
    <row r="263" spans="2:12" ht="15" customHeight="1">
      <c r="B263">
        <v>1999</v>
      </c>
      <c r="C263" t="s">
        <v>1527</v>
      </c>
      <c r="D263" t="s">
        <v>185</v>
      </c>
      <c r="E263" t="s">
        <v>886</v>
      </c>
      <c r="F263" t="s">
        <v>383</v>
      </c>
      <c r="G263" s="475" t="s">
        <v>1490</v>
      </c>
      <c r="H263" s="475" t="s">
        <v>1528</v>
      </c>
      <c r="I263" t="s">
        <v>835</v>
      </c>
      <c r="J263" t="s">
        <v>421</v>
      </c>
      <c r="L263">
        <v>276096901111308</v>
      </c>
    </row>
    <row r="264" spans="2:12" ht="15" customHeight="1">
      <c r="B264">
        <v>2000</v>
      </c>
      <c r="C264" t="s">
        <v>1309</v>
      </c>
      <c r="D264" t="s">
        <v>628</v>
      </c>
      <c r="E264" t="s">
        <v>894</v>
      </c>
      <c r="F264" t="s">
        <v>1529</v>
      </c>
      <c r="G264" s="475" t="s">
        <v>1530</v>
      </c>
      <c r="H264" s="475" t="s">
        <v>1531</v>
      </c>
      <c r="I264">
        <v>528</v>
      </c>
      <c r="J264" t="s">
        <v>1532</v>
      </c>
      <c r="L264">
        <v>276098104615092</v>
      </c>
    </row>
    <row r="265" spans="2:12" ht="15" customHeight="1">
      <c r="B265">
        <v>2001</v>
      </c>
      <c r="C265" t="s">
        <v>796</v>
      </c>
      <c r="D265" t="s">
        <v>347</v>
      </c>
      <c r="E265" t="s">
        <v>903</v>
      </c>
      <c r="F265" t="s">
        <v>1533</v>
      </c>
      <c r="G265" s="475" t="s">
        <v>1534</v>
      </c>
      <c r="H265" s="475" t="s">
        <v>1068</v>
      </c>
      <c r="I265">
        <v>6310</v>
      </c>
      <c r="J265" t="s">
        <v>421</v>
      </c>
      <c r="L265">
        <v>276096100215951</v>
      </c>
    </row>
    <row r="266" spans="2:12" ht="15" customHeight="1">
      <c r="B266">
        <v>2002</v>
      </c>
      <c r="C266" t="s">
        <v>664</v>
      </c>
      <c r="D266" t="s">
        <v>131</v>
      </c>
      <c r="E266" t="s">
        <v>931</v>
      </c>
      <c r="F266" t="s">
        <v>343</v>
      </c>
      <c r="G266" s="475" t="s">
        <v>1535</v>
      </c>
      <c r="H266" s="475" t="s">
        <v>1536</v>
      </c>
      <c r="I266">
        <v>6311</v>
      </c>
      <c r="J266" t="s">
        <v>667</v>
      </c>
      <c r="L266">
        <v>276098104570057</v>
      </c>
    </row>
    <row r="267" spans="2:12" ht="15" customHeight="1">
      <c r="B267">
        <v>2003</v>
      </c>
      <c r="C267" t="s">
        <v>1537</v>
      </c>
      <c r="D267" t="s">
        <v>103</v>
      </c>
      <c r="E267" t="s">
        <v>886</v>
      </c>
      <c r="F267" t="s">
        <v>717</v>
      </c>
      <c r="G267" s="475" t="s">
        <v>1538</v>
      </c>
      <c r="H267" s="475" t="s">
        <v>1208</v>
      </c>
      <c r="I267" t="s">
        <v>835</v>
      </c>
      <c r="J267" t="s">
        <v>718</v>
      </c>
      <c r="L267">
        <v>276096907012530</v>
      </c>
    </row>
    <row r="268" spans="2:12" ht="15" customHeight="1">
      <c r="B268">
        <v>2007</v>
      </c>
      <c r="C268" t="s">
        <v>1539</v>
      </c>
      <c r="D268" t="s">
        <v>960</v>
      </c>
      <c r="E268" t="s">
        <v>886</v>
      </c>
      <c r="F268" t="s">
        <v>200</v>
      </c>
      <c r="G268" s="475" t="s">
        <v>1540</v>
      </c>
      <c r="H268" s="475" t="s">
        <v>962</v>
      </c>
      <c r="I268" t="s">
        <v>835</v>
      </c>
      <c r="J268" t="s">
        <v>201</v>
      </c>
      <c r="L268">
        <v>276096907007759</v>
      </c>
    </row>
    <row r="269" spans="2:12" ht="15" customHeight="1">
      <c r="B269">
        <v>2009</v>
      </c>
      <c r="C269" t="s">
        <v>1541</v>
      </c>
      <c r="D269" t="s">
        <v>126</v>
      </c>
      <c r="E269" t="s">
        <v>886</v>
      </c>
      <c r="F269" t="s">
        <v>460</v>
      </c>
      <c r="G269" s="475" t="s">
        <v>1542</v>
      </c>
      <c r="H269" s="475" t="s">
        <v>1543</v>
      </c>
      <c r="I269" t="s">
        <v>835</v>
      </c>
      <c r="J269" t="s">
        <v>314</v>
      </c>
      <c r="L269">
        <v>276097202189353</v>
      </c>
    </row>
    <row r="270" spans="2:12" ht="15" customHeight="1">
      <c r="B270">
        <v>2010</v>
      </c>
      <c r="C270" t="s">
        <v>304</v>
      </c>
      <c r="D270" t="s">
        <v>122</v>
      </c>
      <c r="E270" t="s">
        <v>923</v>
      </c>
      <c r="F270" t="s">
        <v>202</v>
      </c>
      <c r="G270" s="475" t="s">
        <v>1544</v>
      </c>
      <c r="H270" s="475" t="s">
        <v>1545</v>
      </c>
      <c r="I270">
        <v>8502</v>
      </c>
      <c r="J270" t="s">
        <v>1390</v>
      </c>
      <c r="L270">
        <v>276097202170118</v>
      </c>
    </row>
    <row r="271" spans="2:12" ht="15" customHeight="1">
      <c r="B271">
        <v>2011</v>
      </c>
      <c r="C271" t="s">
        <v>595</v>
      </c>
      <c r="D271" t="s">
        <v>465</v>
      </c>
      <c r="E271" t="s">
        <v>886</v>
      </c>
      <c r="F271" t="s">
        <v>228</v>
      </c>
      <c r="G271" s="475" t="s">
        <v>1546</v>
      </c>
      <c r="H271" s="475" t="s">
        <v>1547</v>
      </c>
      <c r="I271" t="s">
        <v>835</v>
      </c>
      <c r="J271" t="s">
        <v>1548</v>
      </c>
      <c r="L271">
        <v>276098104500341</v>
      </c>
    </row>
    <row r="272" spans="2:12" ht="15" customHeight="1">
      <c r="B272">
        <v>2012</v>
      </c>
      <c r="C272" t="s">
        <v>121</v>
      </c>
      <c r="D272" t="s">
        <v>1549</v>
      </c>
      <c r="E272" t="s">
        <v>886</v>
      </c>
      <c r="F272" t="s">
        <v>1550</v>
      </c>
      <c r="G272" s="475" t="s">
        <v>1551</v>
      </c>
      <c r="H272" s="475" t="s">
        <v>1552</v>
      </c>
      <c r="I272" t="s">
        <v>835</v>
      </c>
      <c r="J272" t="s">
        <v>1553</v>
      </c>
      <c r="L272">
        <v>276098104172568</v>
      </c>
    </row>
    <row r="273" spans="2:12" ht="15" customHeight="1">
      <c r="B273">
        <v>2015</v>
      </c>
      <c r="C273" t="s">
        <v>428</v>
      </c>
      <c r="D273" t="s">
        <v>1554</v>
      </c>
      <c r="E273" t="s">
        <v>914</v>
      </c>
      <c r="F273" t="s">
        <v>187</v>
      </c>
      <c r="G273" s="475" t="s">
        <v>1555</v>
      </c>
      <c r="H273" s="475" t="s">
        <v>1556</v>
      </c>
      <c r="I273">
        <v>8212</v>
      </c>
      <c r="J273" t="s">
        <v>1342</v>
      </c>
      <c r="L273">
        <v>276093400002806</v>
      </c>
    </row>
    <row r="274" spans="2:12" ht="15" customHeight="1">
      <c r="B274">
        <v>2017</v>
      </c>
      <c r="C274" t="s">
        <v>1557</v>
      </c>
      <c r="D274" t="s">
        <v>462</v>
      </c>
      <c r="E274" t="s">
        <v>886</v>
      </c>
      <c r="F274" t="s">
        <v>187</v>
      </c>
      <c r="G274" s="475" t="s">
        <v>1558</v>
      </c>
      <c r="H274" s="475" t="s">
        <v>1189</v>
      </c>
      <c r="I274" t="s">
        <v>835</v>
      </c>
      <c r="J274" t="s">
        <v>1559</v>
      </c>
      <c r="L274">
        <v>276098104250973</v>
      </c>
    </row>
    <row r="275" spans="2:12" ht="15" customHeight="1">
      <c r="B275">
        <v>2018</v>
      </c>
      <c r="C275" t="s">
        <v>457</v>
      </c>
      <c r="D275" t="s">
        <v>732</v>
      </c>
      <c r="E275" t="s">
        <v>886</v>
      </c>
      <c r="F275" t="s">
        <v>467</v>
      </c>
      <c r="G275" s="475" t="s">
        <v>1560</v>
      </c>
      <c r="H275" s="475" t="s">
        <v>1561</v>
      </c>
      <c r="I275" t="s">
        <v>835</v>
      </c>
      <c r="J275" t="s">
        <v>733</v>
      </c>
      <c r="L275">
        <v>276098104137946</v>
      </c>
    </row>
    <row r="276" spans="2:12" ht="15" customHeight="1">
      <c r="B276">
        <v>2019</v>
      </c>
      <c r="C276" t="s">
        <v>1562</v>
      </c>
      <c r="D276" t="s">
        <v>123</v>
      </c>
      <c r="E276" t="s">
        <v>931</v>
      </c>
      <c r="F276" t="s">
        <v>1563</v>
      </c>
      <c r="G276" s="475" t="s">
        <v>1564</v>
      </c>
      <c r="H276" s="475" t="s">
        <v>1461</v>
      </c>
      <c r="I276">
        <v>8214</v>
      </c>
      <c r="L276">
        <v>941000015127053</v>
      </c>
    </row>
    <row r="277" spans="2:12" ht="15" customHeight="1">
      <c r="B277">
        <v>2021</v>
      </c>
      <c r="C277" t="s">
        <v>1565</v>
      </c>
      <c r="D277" t="s">
        <v>782</v>
      </c>
      <c r="E277" t="s">
        <v>886</v>
      </c>
      <c r="F277" t="s">
        <v>950</v>
      </c>
      <c r="G277" s="475" t="s">
        <v>1566</v>
      </c>
      <c r="H277" s="475" t="s">
        <v>952</v>
      </c>
      <c r="I277" t="s">
        <v>835</v>
      </c>
      <c r="J277" t="s">
        <v>490</v>
      </c>
      <c r="L277">
        <v>276098104409053</v>
      </c>
    </row>
    <row r="278" spans="2:12" ht="15" customHeight="1">
      <c r="B278">
        <v>2027</v>
      </c>
      <c r="C278" t="s">
        <v>280</v>
      </c>
      <c r="D278" t="s">
        <v>126</v>
      </c>
      <c r="E278" t="s">
        <v>886</v>
      </c>
      <c r="F278" t="s">
        <v>208</v>
      </c>
      <c r="G278" s="475" t="s">
        <v>1567</v>
      </c>
      <c r="H278" s="475" t="s">
        <v>1568</v>
      </c>
      <c r="I278" t="s">
        <v>835</v>
      </c>
      <c r="J278" t="s">
        <v>1569</v>
      </c>
      <c r="L278">
        <v>945000000411684</v>
      </c>
    </row>
    <row r="279" spans="2:12" ht="15" customHeight="1">
      <c r="B279">
        <v>2028</v>
      </c>
      <c r="C279" t="s">
        <v>1570</v>
      </c>
      <c r="D279" t="s">
        <v>126</v>
      </c>
      <c r="E279" t="s">
        <v>886</v>
      </c>
      <c r="F279" t="s">
        <v>1571</v>
      </c>
      <c r="G279" s="475" t="s">
        <v>1572</v>
      </c>
      <c r="H279" s="475" t="s">
        <v>1573</v>
      </c>
      <c r="I279" t="s">
        <v>835</v>
      </c>
      <c r="J279" t="s">
        <v>1458</v>
      </c>
      <c r="L279">
        <v>276097200647705</v>
      </c>
    </row>
    <row r="280" spans="2:12" ht="15" customHeight="1">
      <c r="B280">
        <v>2029</v>
      </c>
      <c r="C280" t="s">
        <v>643</v>
      </c>
      <c r="D280" t="s">
        <v>191</v>
      </c>
      <c r="E280" t="s">
        <v>931</v>
      </c>
      <c r="F280" t="s">
        <v>1574</v>
      </c>
      <c r="G280" s="475" t="s">
        <v>1575</v>
      </c>
      <c r="H280" s="475" t="s">
        <v>1576</v>
      </c>
      <c r="I280">
        <v>8501</v>
      </c>
      <c r="J280" t="s">
        <v>1577</v>
      </c>
      <c r="L280">
        <v>276098102698596</v>
      </c>
    </row>
    <row r="281" spans="2:12" ht="15" customHeight="1">
      <c r="B281">
        <v>2030</v>
      </c>
      <c r="C281" t="s">
        <v>1578</v>
      </c>
      <c r="D281" t="s">
        <v>131</v>
      </c>
      <c r="E281" t="s">
        <v>931</v>
      </c>
      <c r="F281" t="s">
        <v>403</v>
      </c>
      <c r="G281" s="475" t="s">
        <v>1579</v>
      </c>
      <c r="H281" s="475" t="s">
        <v>1117</v>
      </c>
      <c r="I281">
        <v>5515</v>
      </c>
      <c r="J281" t="s">
        <v>1580</v>
      </c>
      <c r="L281">
        <v>276096909228720</v>
      </c>
    </row>
    <row r="282" spans="2:12" ht="15" customHeight="1">
      <c r="B282">
        <v>2032</v>
      </c>
      <c r="C282" t="s">
        <v>1309</v>
      </c>
      <c r="D282" t="s">
        <v>472</v>
      </c>
      <c r="E282" t="s">
        <v>886</v>
      </c>
      <c r="F282" t="s">
        <v>318</v>
      </c>
      <c r="G282" s="475" t="s">
        <v>1581</v>
      </c>
      <c r="H282" s="475" t="s">
        <v>1582</v>
      </c>
      <c r="I282" t="s">
        <v>835</v>
      </c>
      <c r="J282" t="s">
        <v>1583</v>
      </c>
      <c r="L282">
        <v>276097202422786</v>
      </c>
    </row>
    <row r="283" spans="2:12" ht="15" customHeight="1">
      <c r="B283">
        <v>2036</v>
      </c>
      <c r="C283" t="s">
        <v>303</v>
      </c>
      <c r="D283" t="s">
        <v>123</v>
      </c>
      <c r="E283" t="s">
        <v>886</v>
      </c>
      <c r="F283" t="s">
        <v>1584</v>
      </c>
      <c r="G283" s="475" t="s">
        <v>1585</v>
      </c>
      <c r="H283" s="475" t="s">
        <v>1586</v>
      </c>
      <c r="I283" t="s">
        <v>835</v>
      </c>
      <c r="J283" t="s">
        <v>1587</v>
      </c>
      <c r="L283">
        <v>941000011353040</v>
      </c>
    </row>
    <row r="284" spans="2:12" ht="15" customHeight="1">
      <c r="B284">
        <v>2037</v>
      </c>
      <c r="C284" t="s">
        <v>136</v>
      </c>
      <c r="D284" t="s">
        <v>347</v>
      </c>
      <c r="E284" t="s">
        <v>899</v>
      </c>
      <c r="F284" t="s">
        <v>397</v>
      </c>
      <c r="G284" s="475" t="s">
        <v>1588</v>
      </c>
      <c r="H284" s="475" t="s">
        <v>1589</v>
      </c>
      <c r="I284">
        <v>5101</v>
      </c>
      <c r="J284" t="s">
        <v>345</v>
      </c>
      <c r="L284">
        <v>276094180084492</v>
      </c>
    </row>
    <row r="285" spans="2:12" ht="15" customHeight="1">
      <c r="B285">
        <v>2039</v>
      </c>
      <c r="C285" t="s">
        <v>1590</v>
      </c>
      <c r="D285" t="s">
        <v>126</v>
      </c>
      <c r="E285" t="s">
        <v>886</v>
      </c>
      <c r="F285" t="s">
        <v>438</v>
      </c>
      <c r="G285" s="475" t="s">
        <v>1591</v>
      </c>
      <c r="H285" s="475" t="s">
        <v>1486</v>
      </c>
      <c r="I285" t="s">
        <v>835</v>
      </c>
      <c r="J285" t="s">
        <v>1487</v>
      </c>
      <c r="L285">
        <v>939000001072128</v>
      </c>
    </row>
    <row r="286" spans="2:12" ht="15" customHeight="1">
      <c r="B286">
        <v>2044</v>
      </c>
      <c r="C286" t="s">
        <v>1592</v>
      </c>
      <c r="D286" t="s">
        <v>103</v>
      </c>
      <c r="E286" t="s">
        <v>886</v>
      </c>
      <c r="F286" t="s">
        <v>398</v>
      </c>
      <c r="G286" s="475" t="s">
        <v>1351</v>
      </c>
      <c r="H286" s="475" t="s">
        <v>983</v>
      </c>
      <c r="I286" t="s">
        <v>835</v>
      </c>
      <c r="J286" t="s">
        <v>1593</v>
      </c>
      <c r="L286">
        <v>27609690115952</v>
      </c>
    </row>
    <row r="287" spans="2:12" ht="15" customHeight="1">
      <c r="B287">
        <v>2045</v>
      </c>
      <c r="C287" t="s">
        <v>387</v>
      </c>
      <c r="D287" t="s">
        <v>465</v>
      </c>
      <c r="E287" t="s">
        <v>886</v>
      </c>
      <c r="F287" t="s">
        <v>1594</v>
      </c>
      <c r="G287" s="475" t="s">
        <v>1595</v>
      </c>
      <c r="H287" s="475" t="s">
        <v>1596</v>
      </c>
      <c r="I287" t="s">
        <v>835</v>
      </c>
      <c r="J287" t="s">
        <v>1597</v>
      </c>
      <c r="L287">
        <v>276094180063080</v>
      </c>
    </row>
    <row r="288" spans="2:12" ht="15" customHeight="1">
      <c r="B288">
        <v>2046</v>
      </c>
      <c r="C288" t="s">
        <v>222</v>
      </c>
      <c r="D288" t="s">
        <v>126</v>
      </c>
      <c r="E288" t="s">
        <v>886</v>
      </c>
      <c r="F288" t="s">
        <v>636</v>
      </c>
      <c r="G288" s="475" t="s">
        <v>1598</v>
      </c>
      <c r="H288" s="475" t="s">
        <v>1599</v>
      </c>
      <c r="I288" t="s">
        <v>835</v>
      </c>
      <c r="J288" t="s">
        <v>1600</v>
      </c>
      <c r="L288">
        <v>276098102441164</v>
      </c>
    </row>
    <row r="289" spans="2:12" ht="15" customHeight="1">
      <c r="B289">
        <v>2049</v>
      </c>
      <c r="C289" t="s">
        <v>520</v>
      </c>
      <c r="D289" t="s">
        <v>103</v>
      </c>
      <c r="E289" t="s">
        <v>894</v>
      </c>
      <c r="F289" t="s">
        <v>1346</v>
      </c>
      <c r="G289" s="475" t="s">
        <v>1601</v>
      </c>
      <c r="H289" s="475" t="s">
        <v>1231</v>
      </c>
      <c r="I289">
        <v>1305</v>
      </c>
      <c r="J289" t="s">
        <v>1602</v>
      </c>
      <c r="L289">
        <v>276098102328499</v>
      </c>
    </row>
    <row r="290" spans="2:12" ht="15" customHeight="1">
      <c r="B290">
        <v>2051</v>
      </c>
      <c r="C290" t="s">
        <v>125</v>
      </c>
      <c r="D290" t="s">
        <v>185</v>
      </c>
      <c r="E290" t="s">
        <v>886</v>
      </c>
      <c r="F290" t="s">
        <v>564</v>
      </c>
      <c r="G290" s="475" t="s">
        <v>1603</v>
      </c>
      <c r="H290" s="475" t="s">
        <v>1604</v>
      </c>
      <c r="I290" t="s">
        <v>835</v>
      </c>
      <c r="J290" t="s">
        <v>678</v>
      </c>
      <c r="L290">
        <v>276097200147243</v>
      </c>
    </row>
    <row r="291" spans="2:12" ht="15" customHeight="1">
      <c r="B291">
        <v>2052</v>
      </c>
      <c r="C291" t="s">
        <v>620</v>
      </c>
      <c r="D291" t="s">
        <v>191</v>
      </c>
      <c r="E291" t="s">
        <v>923</v>
      </c>
      <c r="F291" t="s">
        <v>1605</v>
      </c>
      <c r="G291" s="475" t="s">
        <v>1606</v>
      </c>
      <c r="H291" s="475" t="s">
        <v>1292</v>
      </c>
      <c r="I291">
        <v>1309</v>
      </c>
      <c r="J291" t="s">
        <v>1607</v>
      </c>
      <c r="L291">
        <v>276096909024948</v>
      </c>
    </row>
    <row r="292" spans="2:12" ht="15" customHeight="1">
      <c r="B292">
        <v>2054</v>
      </c>
      <c r="C292" t="s">
        <v>1608</v>
      </c>
      <c r="D292" t="s">
        <v>422</v>
      </c>
      <c r="E292" t="s">
        <v>914</v>
      </c>
      <c r="F292" t="s">
        <v>374</v>
      </c>
      <c r="G292" s="475" t="s">
        <v>1609</v>
      </c>
      <c r="H292" s="475" t="s">
        <v>1610</v>
      </c>
      <c r="I292">
        <v>1311</v>
      </c>
      <c r="J292" t="s">
        <v>375</v>
      </c>
      <c r="L292">
        <v>900008800196975</v>
      </c>
    </row>
    <row r="293" spans="2:12" ht="15" customHeight="1">
      <c r="B293">
        <v>2055</v>
      </c>
      <c r="C293" t="s">
        <v>1611</v>
      </c>
      <c r="D293" t="s">
        <v>207</v>
      </c>
      <c r="E293" t="s">
        <v>914</v>
      </c>
      <c r="F293" t="s">
        <v>374</v>
      </c>
      <c r="G293" s="475" t="s">
        <v>1612</v>
      </c>
      <c r="H293" s="475" t="s">
        <v>1613</v>
      </c>
      <c r="I293">
        <v>1307</v>
      </c>
      <c r="J293" t="s">
        <v>375</v>
      </c>
      <c r="L293">
        <v>276093400101456</v>
      </c>
    </row>
    <row r="294" spans="2:12" ht="15" customHeight="1">
      <c r="B294">
        <v>2058</v>
      </c>
      <c r="C294" t="s">
        <v>1614</v>
      </c>
      <c r="D294" t="s">
        <v>441</v>
      </c>
      <c r="E294" t="s">
        <v>899</v>
      </c>
      <c r="F294" t="s">
        <v>1615</v>
      </c>
      <c r="G294" s="475" t="s">
        <v>1616</v>
      </c>
      <c r="H294" s="475" t="s">
        <v>1617</v>
      </c>
      <c r="I294" t="s">
        <v>836</v>
      </c>
      <c r="J294" t="s">
        <v>1618</v>
      </c>
      <c r="L294">
        <v>276094180092191</v>
      </c>
    </row>
    <row r="295" spans="2:12" ht="15" customHeight="1">
      <c r="B295">
        <v>2059</v>
      </c>
      <c r="C295" t="s">
        <v>1619</v>
      </c>
      <c r="D295" t="s">
        <v>103</v>
      </c>
      <c r="E295" t="s">
        <v>886</v>
      </c>
      <c r="F295" t="s">
        <v>458</v>
      </c>
      <c r="G295" s="475" t="s">
        <v>1620</v>
      </c>
      <c r="H295" s="475" t="s">
        <v>1621</v>
      </c>
      <c r="I295" t="s">
        <v>835</v>
      </c>
      <c r="J295" t="s">
        <v>763</v>
      </c>
      <c r="L295">
        <v>276098104453244</v>
      </c>
    </row>
    <row r="296" spans="2:12" ht="15" customHeight="1">
      <c r="B296">
        <v>2061</v>
      </c>
      <c r="C296" t="s">
        <v>1622</v>
      </c>
      <c r="D296" t="s">
        <v>185</v>
      </c>
      <c r="E296" t="s">
        <v>886</v>
      </c>
      <c r="F296" t="s">
        <v>238</v>
      </c>
      <c r="G296" s="475" t="s">
        <v>1623</v>
      </c>
      <c r="H296" s="475" t="s">
        <v>1624</v>
      </c>
      <c r="I296" t="s">
        <v>835</v>
      </c>
      <c r="J296" t="s">
        <v>1625</v>
      </c>
      <c r="L296">
        <v>967000001044402</v>
      </c>
    </row>
    <row r="297" spans="2:12" ht="15" customHeight="1">
      <c r="B297">
        <v>2065</v>
      </c>
      <c r="C297" t="s">
        <v>1626</v>
      </c>
      <c r="D297" t="s">
        <v>1627</v>
      </c>
      <c r="E297" t="s">
        <v>899</v>
      </c>
      <c r="F297" t="s">
        <v>1628</v>
      </c>
      <c r="G297" s="475" t="s">
        <v>1629</v>
      </c>
      <c r="H297" s="475" t="s">
        <v>1630</v>
      </c>
      <c r="I297">
        <v>4601</v>
      </c>
      <c r="J297" t="s">
        <v>490</v>
      </c>
      <c r="L297">
        <v>276093400347541</v>
      </c>
    </row>
    <row r="298" spans="2:12" ht="15" customHeight="1">
      <c r="B298">
        <v>2067</v>
      </c>
      <c r="C298" t="s">
        <v>609</v>
      </c>
      <c r="D298" t="s">
        <v>1631</v>
      </c>
      <c r="E298" t="s">
        <v>886</v>
      </c>
      <c r="F298" t="s">
        <v>358</v>
      </c>
      <c r="G298" s="475" t="s">
        <v>1530</v>
      </c>
      <c r="H298" s="475" t="s">
        <v>1632</v>
      </c>
      <c r="I298" t="s">
        <v>835</v>
      </c>
      <c r="J298" t="s">
        <v>257</v>
      </c>
      <c r="L298">
        <v>953000010090705</v>
      </c>
    </row>
    <row r="299" spans="2:12" ht="15" customHeight="1">
      <c r="B299">
        <v>2069</v>
      </c>
      <c r="C299" t="s">
        <v>146</v>
      </c>
      <c r="D299" t="s">
        <v>126</v>
      </c>
      <c r="E299" t="s">
        <v>886</v>
      </c>
      <c r="F299" t="s">
        <v>1030</v>
      </c>
      <c r="G299" s="475" t="s">
        <v>1633</v>
      </c>
      <c r="H299" s="475" t="s">
        <v>1634</v>
      </c>
      <c r="I299" t="s">
        <v>835</v>
      </c>
      <c r="J299" t="s">
        <v>1635</v>
      </c>
      <c r="L299">
        <v>276094180065299</v>
      </c>
    </row>
    <row r="300" spans="2:12" ht="15" customHeight="1">
      <c r="B300">
        <v>2072</v>
      </c>
      <c r="C300" t="s">
        <v>653</v>
      </c>
      <c r="D300" t="s">
        <v>214</v>
      </c>
      <c r="E300" t="s">
        <v>886</v>
      </c>
      <c r="F300" t="s">
        <v>211</v>
      </c>
      <c r="G300" s="475" t="s">
        <v>1636</v>
      </c>
      <c r="H300" s="475" t="s">
        <v>1637</v>
      </c>
      <c r="I300" t="s">
        <v>835</v>
      </c>
      <c r="J300" t="s">
        <v>652</v>
      </c>
      <c r="L300">
        <v>276097200979998</v>
      </c>
    </row>
    <row r="301" spans="2:12" ht="15" customHeight="1">
      <c r="B301">
        <v>2073</v>
      </c>
      <c r="C301" t="s">
        <v>304</v>
      </c>
      <c r="D301" t="s">
        <v>103</v>
      </c>
      <c r="E301" t="s">
        <v>886</v>
      </c>
      <c r="F301" t="s">
        <v>404</v>
      </c>
      <c r="G301" s="475" t="s">
        <v>1638</v>
      </c>
      <c r="H301" s="475" t="s">
        <v>1639</v>
      </c>
      <c r="I301">
        <v>122</v>
      </c>
      <c r="J301" t="s">
        <v>405</v>
      </c>
      <c r="L301">
        <v>276098510293799</v>
      </c>
    </row>
    <row r="302" spans="2:12" ht="15" customHeight="1">
      <c r="B302">
        <v>2074</v>
      </c>
      <c r="C302" t="s">
        <v>137</v>
      </c>
      <c r="D302" t="s">
        <v>126</v>
      </c>
      <c r="E302" t="s">
        <v>886</v>
      </c>
      <c r="F302" t="s">
        <v>535</v>
      </c>
      <c r="G302" s="475" t="s">
        <v>1640</v>
      </c>
      <c r="H302" s="475" t="s">
        <v>1641</v>
      </c>
      <c r="I302" t="s">
        <v>835</v>
      </c>
      <c r="J302" t="s">
        <v>1642</v>
      </c>
      <c r="L302">
        <v>276097201012733</v>
      </c>
    </row>
    <row r="303" spans="2:12" ht="15" customHeight="1">
      <c r="B303">
        <v>2075</v>
      </c>
      <c r="C303" t="s">
        <v>105</v>
      </c>
      <c r="D303" t="s">
        <v>103</v>
      </c>
      <c r="E303" t="s">
        <v>894</v>
      </c>
      <c r="F303" t="s">
        <v>460</v>
      </c>
      <c r="G303" s="475" t="s">
        <v>1643</v>
      </c>
      <c r="H303" s="475" t="s">
        <v>1003</v>
      </c>
      <c r="I303">
        <v>123</v>
      </c>
      <c r="J303" t="s">
        <v>1642</v>
      </c>
      <c r="L303">
        <v>276095600021800</v>
      </c>
    </row>
    <row r="304" spans="2:12" ht="15" customHeight="1">
      <c r="B304">
        <v>2076</v>
      </c>
      <c r="C304" t="s">
        <v>1644</v>
      </c>
      <c r="D304" t="s">
        <v>123</v>
      </c>
      <c r="E304" t="s">
        <v>923</v>
      </c>
      <c r="F304" t="s">
        <v>535</v>
      </c>
      <c r="G304" s="475" t="s">
        <v>1167</v>
      </c>
      <c r="H304" s="475" t="s">
        <v>1062</v>
      </c>
      <c r="I304">
        <v>120</v>
      </c>
      <c r="J304" t="s">
        <v>1645</v>
      </c>
      <c r="L304">
        <v>941000002345829</v>
      </c>
    </row>
    <row r="305" spans="2:12" ht="15" customHeight="1">
      <c r="B305">
        <v>2077</v>
      </c>
      <c r="C305" t="s">
        <v>391</v>
      </c>
      <c r="D305" t="s">
        <v>123</v>
      </c>
      <c r="E305" t="s">
        <v>899</v>
      </c>
      <c r="F305" t="s">
        <v>535</v>
      </c>
      <c r="G305" s="475" t="s">
        <v>1646</v>
      </c>
      <c r="H305" s="475" t="s">
        <v>1647</v>
      </c>
      <c r="I305">
        <v>125</v>
      </c>
      <c r="J305" t="s">
        <v>1645</v>
      </c>
      <c r="L305">
        <v>276098104552312</v>
      </c>
    </row>
    <row r="306" spans="2:12" ht="15" customHeight="1">
      <c r="B306">
        <v>2078</v>
      </c>
      <c r="C306" t="s">
        <v>136</v>
      </c>
      <c r="D306" t="s">
        <v>123</v>
      </c>
      <c r="E306" t="s">
        <v>923</v>
      </c>
      <c r="F306" t="s">
        <v>1648</v>
      </c>
      <c r="G306" s="475" t="s">
        <v>1649</v>
      </c>
      <c r="H306" s="475" t="s">
        <v>1650</v>
      </c>
      <c r="I306">
        <v>119</v>
      </c>
      <c r="J306" t="s">
        <v>1651</v>
      </c>
      <c r="L306">
        <v>276094180008488</v>
      </c>
    </row>
    <row r="307" spans="2:12" ht="15" customHeight="1">
      <c r="B307">
        <v>2079</v>
      </c>
      <c r="C307" t="s">
        <v>1652</v>
      </c>
      <c r="D307" t="s">
        <v>123</v>
      </c>
      <c r="E307" t="s">
        <v>894</v>
      </c>
      <c r="F307" t="s">
        <v>286</v>
      </c>
      <c r="G307" s="475" t="s">
        <v>1653</v>
      </c>
      <c r="H307" s="475" t="s">
        <v>1370</v>
      </c>
      <c r="I307">
        <v>121</v>
      </c>
      <c r="J307" t="s">
        <v>1654</v>
      </c>
      <c r="L307">
        <v>276097200950851</v>
      </c>
    </row>
    <row r="308" spans="2:12" ht="15" customHeight="1">
      <c r="B308">
        <v>2087</v>
      </c>
      <c r="C308" t="s">
        <v>639</v>
      </c>
      <c r="D308" t="s">
        <v>103</v>
      </c>
      <c r="E308" t="s">
        <v>886</v>
      </c>
      <c r="F308" t="s">
        <v>383</v>
      </c>
      <c r="G308" s="475" t="s">
        <v>1456</v>
      </c>
      <c r="H308" s="475" t="s">
        <v>1252</v>
      </c>
      <c r="I308" t="s">
        <v>835</v>
      </c>
      <c r="L308">
        <v>12345678913</v>
      </c>
    </row>
    <row r="309" spans="2:12" ht="15" customHeight="1">
      <c r="B309">
        <v>2090</v>
      </c>
      <c r="C309" t="s">
        <v>302</v>
      </c>
      <c r="D309" t="s">
        <v>288</v>
      </c>
      <c r="E309" t="s">
        <v>886</v>
      </c>
      <c r="F309" t="s">
        <v>309</v>
      </c>
      <c r="G309" s="475" t="s">
        <v>1655</v>
      </c>
      <c r="H309" s="475" t="s">
        <v>1656</v>
      </c>
      <c r="I309" t="s">
        <v>835</v>
      </c>
      <c r="J309" t="s">
        <v>1657</v>
      </c>
      <c r="L309">
        <v>276093400039331</v>
      </c>
    </row>
    <row r="310" spans="2:12" ht="15" customHeight="1">
      <c r="B310">
        <v>2091</v>
      </c>
      <c r="C310" t="s">
        <v>1658</v>
      </c>
      <c r="D310" t="s">
        <v>436</v>
      </c>
      <c r="E310" t="s">
        <v>886</v>
      </c>
      <c r="F310" t="s">
        <v>1659</v>
      </c>
      <c r="G310" s="475" t="s">
        <v>1660</v>
      </c>
      <c r="H310" s="475" t="s">
        <v>1661</v>
      </c>
      <c r="I310" t="s">
        <v>835</v>
      </c>
      <c r="J310" t="s">
        <v>1662</v>
      </c>
      <c r="L310">
        <v>276097200787388</v>
      </c>
    </row>
    <row r="311" spans="2:12" ht="15" customHeight="1">
      <c r="B311">
        <v>2107</v>
      </c>
      <c r="C311" t="s">
        <v>723</v>
      </c>
      <c r="D311" t="s">
        <v>122</v>
      </c>
      <c r="E311" t="s">
        <v>903</v>
      </c>
      <c r="F311" t="s">
        <v>569</v>
      </c>
      <c r="G311" s="475" t="s">
        <v>1663</v>
      </c>
      <c r="H311" s="475" t="s">
        <v>1664</v>
      </c>
      <c r="I311">
        <v>8004</v>
      </c>
      <c r="J311" t="s">
        <v>1111</v>
      </c>
      <c r="L311">
        <v>276096907010749</v>
      </c>
    </row>
    <row r="312" spans="2:12" ht="15" customHeight="1">
      <c r="B312">
        <v>2115</v>
      </c>
      <c r="C312" t="s">
        <v>1665</v>
      </c>
      <c r="D312" t="s">
        <v>103</v>
      </c>
      <c r="E312" t="s">
        <v>886</v>
      </c>
      <c r="F312" t="s">
        <v>1666</v>
      </c>
      <c r="G312" s="475" t="s">
        <v>1667</v>
      </c>
      <c r="H312" s="475" t="s">
        <v>1352</v>
      </c>
      <c r="I312" t="s">
        <v>835</v>
      </c>
      <c r="J312" t="s">
        <v>793</v>
      </c>
      <c r="L312">
        <v>276097209032158</v>
      </c>
    </row>
    <row r="313" spans="2:12" ht="15" customHeight="1">
      <c r="B313">
        <v>2116</v>
      </c>
      <c r="C313" t="s">
        <v>1668</v>
      </c>
      <c r="D313" t="s">
        <v>126</v>
      </c>
      <c r="E313" t="s">
        <v>886</v>
      </c>
      <c r="F313" t="s">
        <v>1669</v>
      </c>
      <c r="G313" s="475" t="s">
        <v>1500</v>
      </c>
      <c r="H313" s="475" t="s">
        <v>1589</v>
      </c>
      <c r="I313" t="s">
        <v>835</v>
      </c>
      <c r="J313" t="s">
        <v>1670</v>
      </c>
      <c r="L313">
        <v>276097202345713</v>
      </c>
    </row>
    <row r="314" spans="2:12" ht="15" customHeight="1">
      <c r="B314">
        <v>2117</v>
      </c>
      <c r="C314" t="s">
        <v>226</v>
      </c>
      <c r="D314" t="s">
        <v>126</v>
      </c>
      <c r="E314" t="s">
        <v>899</v>
      </c>
      <c r="F314" t="s">
        <v>730</v>
      </c>
      <c r="G314" s="475" t="s">
        <v>1671</v>
      </c>
      <c r="H314" s="475" t="s">
        <v>1672</v>
      </c>
      <c r="I314">
        <v>7902</v>
      </c>
      <c r="J314" t="s">
        <v>820</v>
      </c>
      <c r="L314">
        <v>276094180106950</v>
      </c>
    </row>
    <row r="315" spans="2:12" ht="15" customHeight="1">
      <c r="B315">
        <v>2118</v>
      </c>
      <c r="C315" t="s">
        <v>566</v>
      </c>
      <c r="D315" t="s">
        <v>126</v>
      </c>
      <c r="E315" t="s">
        <v>886</v>
      </c>
      <c r="F315" t="s">
        <v>186</v>
      </c>
      <c r="G315" s="475" t="s">
        <v>1673</v>
      </c>
      <c r="H315" s="475" t="s">
        <v>1674</v>
      </c>
      <c r="I315" t="s">
        <v>835</v>
      </c>
      <c r="L315">
        <v>276097200642827</v>
      </c>
    </row>
    <row r="316" spans="2:12" ht="15" customHeight="1">
      <c r="B316">
        <v>2119</v>
      </c>
      <c r="C316" t="s">
        <v>282</v>
      </c>
      <c r="D316" t="s">
        <v>126</v>
      </c>
      <c r="E316" t="s">
        <v>886</v>
      </c>
      <c r="F316" t="s">
        <v>406</v>
      </c>
      <c r="G316" s="475" t="s">
        <v>1675</v>
      </c>
      <c r="H316" s="475" t="s">
        <v>1674</v>
      </c>
      <c r="I316" t="s">
        <v>835</v>
      </c>
      <c r="L316">
        <v>276096100234676</v>
      </c>
    </row>
    <row r="317" spans="2:12" ht="15" customHeight="1">
      <c r="B317">
        <v>2122</v>
      </c>
      <c r="C317" t="s">
        <v>1676</v>
      </c>
      <c r="D317" t="s">
        <v>185</v>
      </c>
      <c r="E317" t="s">
        <v>886</v>
      </c>
      <c r="F317" t="s">
        <v>563</v>
      </c>
      <c r="G317" s="475" t="s">
        <v>1677</v>
      </c>
      <c r="H317" s="475" t="s">
        <v>1678</v>
      </c>
      <c r="I317" t="s">
        <v>835</v>
      </c>
      <c r="J317" t="s">
        <v>754</v>
      </c>
      <c r="L317">
        <v>276096100264687</v>
      </c>
    </row>
    <row r="318" spans="2:12" ht="15" customHeight="1">
      <c r="B318">
        <v>2125</v>
      </c>
      <c r="C318" t="s">
        <v>125</v>
      </c>
      <c r="D318" t="s">
        <v>813</v>
      </c>
      <c r="E318" t="s">
        <v>886</v>
      </c>
      <c r="F318" t="s">
        <v>228</v>
      </c>
      <c r="G318" s="475" t="s">
        <v>1178</v>
      </c>
      <c r="H318" s="475" t="s">
        <v>1679</v>
      </c>
      <c r="I318" t="s">
        <v>835</v>
      </c>
      <c r="J318" t="s">
        <v>814</v>
      </c>
      <c r="L318">
        <v>276096901058645</v>
      </c>
    </row>
    <row r="319" spans="2:12" ht="15" customHeight="1">
      <c r="B319">
        <v>2127</v>
      </c>
      <c r="C319" t="s">
        <v>1680</v>
      </c>
      <c r="D319" t="s">
        <v>648</v>
      </c>
      <c r="E319" t="s">
        <v>923</v>
      </c>
      <c r="F319" t="s">
        <v>412</v>
      </c>
      <c r="G319" s="475" t="s">
        <v>1239</v>
      </c>
      <c r="H319" s="475" t="s">
        <v>1681</v>
      </c>
      <c r="I319">
        <v>8303</v>
      </c>
      <c r="L319">
        <v>276097202103079</v>
      </c>
    </row>
    <row r="320" spans="2:12" ht="15" customHeight="1">
      <c r="B320">
        <v>2128</v>
      </c>
      <c r="C320" t="s">
        <v>1682</v>
      </c>
      <c r="D320" t="s">
        <v>422</v>
      </c>
      <c r="E320" t="s">
        <v>903</v>
      </c>
      <c r="F320" t="s">
        <v>767</v>
      </c>
      <c r="G320" s="475" t="s">
        <v>1683</v>
      </c>
      <c r="H320" s="475" t="s">
        <v>1070</v>
      </c>
      <c r="I320">
        <v>8304</v>
      </c>
      <c r="L320">
        <v>276098104021995</v>
      </c>
    </row>
    <row r="321" spans="2:12" ht="15" customHeight="1">
      <c r="B321">
        <v>2129</v>
      </c>
      <c r="C321" t="s">
        <v>800</v>
      </c>
      <c r="D321" t="s">
        <v>126</v>
      </c>
      <c r="E321" t="s">
        <v>886</v>
      </c>
      <c r="F321" t="s">
        <v>406</v>
      </c>
      <c r="G321" s="475" t="s">
        <v>1684</v>
      </c>
      <c r="H321" s="475" t="s">
        <v>1674</v>
      </c>
      <c r="I321" t="s">
        <v>835</v>
      </c>
      <c r="L321">
        <v>276097202192567</v>
      </c>
    </row>
    <row r="322" spans="2:12" ht="15" customHeight="1">
      <c r="B322">
        <v>2130</v>
      </c>
      <c r="C322" t="s">
        <v>129</v>
      </c>
      <c r="D322" t="s">
        <v>123</v>
      </c>
      <c r="E322" t="s">
        <v>886</v>
      </c>
      <c r="F322" t="s">
        <v>218</v>
      </c>
      <c r="G322" s="475" t="s">
        <v>1685</v>
      </c>
      <c r="H322" s="475" t="s">
        <v>1686</v>
      </c>
      <c r="I322" t="s">
        <v>835</v>
      </c>
      <c r="J322" t="s">
        <v>1687</v>
      </c>
      <c r="L322">
        <v>276098104450511</v>
      </c>
    </row>
    <row r="323" spans="2:9" ht="15" customHeight="1">
      <c r="B323">
        <v>2133</v>
      </c>
      <c r="C323" t="s">
        <v>402</v>
      </c>
      <c r="D323" t="s">
        <v>231</v>
      </c>
      <c r="E323" t="s">
        <v>886</v>
      </c>
      <c r="F323" t="s">
        <v>619</v>
      </c>
      <c r="G323" s="475" t="s">
        <v>1688</v>
      </c>
      <c r="H323" s="475" t="s">
        <v>1689</v>
      </c>
      <c r="I323" t="s">
        <v>835</v>
      </c>
    </row>
    <row r="324" spans="2:12" ht="15" customHeight="1">
      <c r="B324">
        <v>2135</v>
      </c>
      <c r="C324" t="s">
        <v>119</v>
      </c>
      <c r="D324" t="s">
        <v>185</v>
      </c>
      <c r="E324" t="s">
        <v>886</v>
      </c>
      <c r="F324" t="s">
        <v>232</v>
      </c>
      <c r="G324" s="475" t="s">
        <v>1690</v>
      </c>
      <c r="H324" s="475" t="s">
        <v>1691</v>
      </c>
      <c r="I324" t="s">
        <v>835</v>
      </c>
      <c r="J324" t="s">
        <v>1692</v>
      </c>
      <c r="L324">
        <v>276098104369330</v>
      </c>
    </row>
    <row r="325" spans="2:12" ht="15" customHeight="1">
      <c r="B325">
        <v>2138</v>
      </c>
      <c r="C325" t="s">
        <v>1693</v>
      </c>
      <c r="D325" t="s">
        <v>126</v>
      </c>
      <c r="E325" t="s">
        <v>886</v>
      </c>
      <c r="F325" t="s">
        <v>331</v>
      </c>
      <c r="G325" s="475" t="s">
        <v>1694</v>
      </c>
      <c r="H325" s="475" t="s">
        <v>1695</v>
      </c>
      <c r="I325" t="s">
        <v>835</v>
      </c>
      <c r="J325" t="s">
        <v>1696</v>
      </c>
      <c r="L325">
        <v>276098104619326</v>
      </c>
    </row>
    <row r="326" spans="2:12" ht="15" customHeight="1">
      <c r="B326">
        <v>2140</v>
      </c>
      <c r="C326" t="s">
        <v>222</v>
      </c>
      <c r="D326" t="s">
        <v>103</v>
      </c>
      <c r="E326" t="s">
        <v>886</v>
      </c>
      <c r="F326" t="s">
        <v>187</v>
      </c>
      <c r="G326" s="475" t="s">
        <v>1697</v>
      </c>
      <c r="H326" s="475" t="s">
        <v>1397</v>
      </c>
      <c r="I326" t="s">
        <v>835</v>
      </c>
      <c r="J326" t="s">
        <v>785</v>
      </c>
      <c r="L326">
        <v>276096909090952</v>
      </c>
    </row>
    <row r="327" spans="2:12" ht="15" customHeight="1">
      <c r="B327">
        <v>2145</v>
      </c>
      <c r="C327" t="s">
        <v>1698</v>
      </c>
      <c r="D327" t="s">
        <v>126</v>
      </c>
      <c r="E327" t="s">
        <v>886</v>
      </c>
      <c r="F327" t="s">
        <v>1699</v>
      </c>
      <c r="G327" s="475" t="s">
        <v>904</v>
      </c>
      <c r="H327" s="475" t="s">
        <v>1295</v>
      </c>
      <c r="I327" t="s">
        <v>835</v>
      </c>
      <c r="J327" t="s">
        <v>637</v>
      </c>
      <c r="L327">
        <v>276093400360449</v>
      </c>
    </row>
    <row r="328" spans="2:12" ht="15" customHeight="1">
      <c r="B328">
        <v>2146</v>
      </c>
      <c r="C328" t="s">
        <v>1700</v>
      </c>
      <c r="D328" t="s">
        <v>347</v>
      </c>
      <c r="E328" t="s">
        <v>914</v>
      </c>
      <c r="F328" t="s">
        <v>547</v>
      </c>
      <c r="G328" s="475" t="s">
        <v>1701</v>
      </c>
      <c r="H328" s="475" t="s">
        <v>1702</v>
      </c>
      <c r="I328">
        <v>5518</v>
      </c>
      <c r="J328" t="s">
        <v>597</v>
      </c>
      <c r="L328">
        <v>900096000009460</v>
      </c>
    </row>
    <row r="329" spans="2:12" ht="15" customHeight="1">
      <c r="B329">
        <v>2147</v>
      </c>
      <c r="C329" t="s">
        <v>1703</v>
      </c>
      <c r="D329" t="s">
        <v>126</v>
      </c>
      <c r="E329" t="s">
        <v>886</v>
      </c>
      <c r="F329" t="s">
        <v>502</v>
      </c>
      <c r="G329" s="475" t="s">
        <v>1704</v>
      </c>
      <c r="H329" s="475" t="s">
        <v>1705</v>
      </c>
      <c r="I329" t="s">
        <v>835</v>
      </c>
      <c r="J329" t="s">
        <v>1706</v>
      </c>
      <c r="L329">
        <v>276094180008648</v>
      </c>
    </row>
    <row r="330" spans="2:12" ht="15" customHeight="1">
      <c r="B330">
        <v>2153</v>
      </c>
      <c r="C330" t="s">
        <v>105</v>
      </c>
      <c r="D330" t="s">
        <v>1707</v>
      </c>
      <c r="E330" t="s">
        <v>899</v>
      </c>
      <c r="F330" t="s">
        <v>248</v>
      </c>
      <c r="G330" s="475" t="s">
        <v>1708</v>
      </c>
      <c r="H330" s="475" t="s">
        <v>1709</v>
      </c>
      <c r="I330">
        <v>8702</v>
      </c>
      <c r="J330" t="s">
        <v>421</v>
      </c>
      <c r="L330">
        <v>941000002423866</v>
      </c>
    </row>
    <row r="331" spans="2:12" ht="15" customHeight="1">
      <c r="B331">
        <v>2154</v>
      </c>
      <c r="C331" t="s">
        <v>145</v>
      </c>
      <c r="D331" t="s">
        <v>123</v>
      </c>
      <c r="E331" t="s">
        <v>931</v>
      </c>
      <c r="F331" t="s">
        <v>1710</v>
      </c>
      <c r="G331" s="475" t="s">
        <v>1711</v>
      </c>
      <c r="H331" s="475" t="s">
        <v>1712</v>
      </c>
      <c r="I331">
        <v>8701</v>
      </c>
      <c r="J331" t="s">
        <v>421</v>
      </c>
      <c r="L331">
        <v>968000000262271</v>
      </c>
    </row>
    <row r="332" spans="2:12" ht="15" customHeight="1">
      <c r="B332">
        <v>2155</v>
      </c>
      <c r="C332" t="s">
        <v>1713</v>
      </c>
      <c r="D332" t="s">
        <v>126</v>
      </c>
      <c r="E332" t="s">
        <v>886</v>
      </c>
      <c r="F332" t="s">
        <v>254</v>
      </c>
      <c r="G332" s="475" t="s">
        <v>1460</v>
      </c>
      <c r="H332" s="475" t="s">
        <v>1714</v>
      </c>
      <c r="I332" t="s">
        <v>835</v>
      </c>
      <c r="J332" t="s">
        <v>394</v>
      </c>
      <c r="L332">
        <v>276097202127345</v>
      </c>
    </row>
    <row r="333" spans="2:12" ht="15" customHeight="1">
      <c r="B333">
        <v>2157</v>
      </c>
      <c r="C333" t="s">
        <v>114</v>
      </c>
      <c r="D333" t="s">
        <v>172</v>
      </c>
      <c r="E333" t="s">
        <v>886</v>
      </c>
      <c r="F333" t="s">
        <v>1715</v>
      </c>
      <c r="G333" s="475" t="s">
        <v>1716</v>
      </c>
      <c r="H333" s="475" t="s">
        <v>1717</v>
      </c>
      <c r="I333" t="s">
        <v>835</v>
      </c>
      <c r="J333" t="s">
        <v>1718</v>
      </c>
      <c r="L333">
        <v>276098104452135</v>
      </c>
    </row>
    <row r="334" spans="2:12" ht="15" customHeight="1">
      <c r="B334">
        <v>2160</v>
      </c>
      <c r="C334" t="s">
        <v>445</v>
      </c>
      <c r="D334" t="s">
        <v>411</v>
      </c>
      <c r="E334" t="s">
        <v>886</v>
      </c>
      <c r="F334" t="s">
        <v>211</v>
      </c>
      <c r="G334" s="475" t="s">
        <v>1719</v>
      </c>
      <c r="H334" s="475" t="s">
        <v>1161</v>
      </c>
      <c r="I334" t="s">
        <v>835</v>
      </c>
      <c r="J334" t="s">
        <v>1720</v>
      </c>
      <c r="L334">
        <v>276097200955286</v>
      </c>
    </row>
    <row r="335" spans="2:12" ht="15" customHeight="1">
      <c r="B335">
        <v>2161</v>
      </c>
      <c r="C335" t="s">
        <v>255</v>
      </c>
      <c r="D335" t="s">
        <v>567</v>
      </c>
      <c r="E335" t="s">
        <v>886</v>
      </c>
      <c r="F335" t="s">
        <v>744</v>
      </c>
      <c r="G335" s="475" t="s">
        <v>1721</v>
      </c>
      <c r="H335" s="475" t="s">
        <v>1722</v>
      </c>
      <c r="I335" t="s">
        <v>835</v>
      </c>
      <c r="J335" t="s">
        <v>745</v>
      </c>
      <c r="L335">
        <v>276098200001102</v>
      </c>
    </row>
    <row r="336" spans="2:12" ht="15" customHeight="1">
      <c r="B336">
        <v>2166</v>
      </c>
      <c r="C336" t="s">
        <v>1723</v>
      </c>
      <c r="D336" t="s">
        <v>126</v>
      </c>
      <c r="E336" t="s">
        <v>886</v>
      </c>
      <c r="F336" t="s">
        <v>535</v>
      </c>
      <c r="G336" s="475" t="s">
        <v>1206</v>
      </c>
      <c r="H336" s="475" t="s">
        <v>1724</v>
      </c>
      <c r="I336" t="s">
        <v>835</v>
      </c>
      <c r="J336" t="s">
        <v>487</v>
      </c>
      <c r="L336">
        <v>276094180041520</v>
      </c>
    </row>
    <row r="337" spans="2:12" ht="15" customHeight="1">
      <c r="B337">
        <v>2167</v>
      </c>
      <c r="C337" t="s">
        <v>119</v>
      </c>
      <c r="D337" t="s">
        <v>123</v>
      </c>
      <c r="E337" t="s">
        <v>886</v>
      </c>
      <c r="F337" t="s">
        <v>1725</v>
      </c>
      <c r="G337" s="475" t="s">
        <v>1726</v>
      </c>
      <c r="H337" s="475" t="s">
        <v>1727</v>
      </c>
      <c r="I337" t="s">
        <v>835</v>
      </c>
      <c r="J337" t="s">
        <v>586</v>
      </c>
      <c r="L337">
        <v>276098102399834</v>
      </c>
    </row>
    <row r="338" spans="2:12" ht="15" customHeight="1">
      <c r="B338">
        <v>2168</v>
      </c>
      <c r="C338" t="s">
        <v>803</v>
      </c>
      <c r="D338" t="s">
        <v>123</v>
      </c>
      <c r="E338" t="s">
        <v>903</v>
      </c>
      <c r="F338" t="s">
        <v>343</v>
      </c>
      <c r="G338" s="475" t="s">
        <v>1728</v>
      </c>
      <c r="H338" s="475" t="s">
        <v>1095</v>
      </c>
      <c r="I338">
        <v>708</v>
      </c>
      <c r="J338" t="s">
        <v>485</v>
      </c>
      <c r="L338">
        <v>276098104120940</v>
      </c>
    </row>
    <row r="339" spans="2:12" ht="15" customHeight="1">
      <c r="B339">
        <v>2173</v>
      </c>
      <c r="C339" t="s">
        <v>1729</v>
      </c>
      <c r="D339" t="s">
        <v>356</v>
      </c>
      <c r="E339" t="s">
        <v>886</v>
      </c>
      <c r="F339" t="s">
        <v>344</v>
      </c>
      <c r="G339" s="475" t="s">
        <v>1730</v>
      </c>
      <c r="H339" s="475" t="s">
        <v>1731</v>
      </c>
      <c r="I339" t="s">
        <v>835</v>
      </c>
      <c r="L339">
        <v>945000001295628</v>
      </c>
    </row>
    <row r="340" spans="2:12" ht="15" customHeight="1">
      <c r="B340">
        <v>2176</v>
      </c>
      <c r="C340" t="s">
        <v>1732</v>
      </c>
      <c r="D340" t="s">
        <v>772</v>
      </c>
      <c r="E340" t="s">
        <v>886</v>
      </c>
      <c r="F340" t="s">
        <v>801</v>
      </c>
      <c r="G340" s="475" t="s">
        <v>1733</v>
      </c>
      <c r="H340" s="475" t="s">
        <v>1734</v>
      </c>
      <c r="I340" t="s">
        <v>835</v>
      </c>
      <c r="J340" t="s">
        <v>1735</v>
      </c>
      <c r="L340">
        <v>276097202051705</v>
      </c>
    </row>
    <row r="341" spans="2:12" ht="15" customHeight="1">
      <c r="B341">
        <v>2177</v>
      </c>
      <c r="C341" t="s">
        <v>1736</v>
      </c>
      <c r="D341" t="s">
        <v>103</v>
      </c>
      <c r="E341" t="s">
        <v>886</v>
      </c>
      <c r="F341" t="s">
        <v>569</v>
      </c>
      <c r="G341" s="475" t="s">
        <v>1737</v>
      </c>
      <c r="H341" s="475" t="s">
        <v>1738</v>
      </c>
      <c r="I341" t="s">
        <v>835</v>
      </c>
      <c r="J341" t="s">
        <v>781</v>
      </c>
      <c r="L341">
        <v>276097202154449</v>
      </c>
    </row>
    <row r="342" spans="2:12" ht="15" customHeight="1">
      <c r="B342">
        <v>2178</v>
      </c>
      <c r="C342" t="s">
        <v>116</v>
      </c>
      <c r="D342" t="s">
        <v>266</v>
      </c>
      <c r="E342" t="s">
        <v>886</v>
      </c>
      <c r="F342" t="s">
        <v>216</v>
      </c>
      <c r="G342" s="475" t="s">
        <v>1739</v>
      </c>
      <c r="H342" s="475" t="s">
        <v>1020</v>
      </c>
      <c r="I342" t="s">
        <v>835</v>
      </c>
      <c r="J342" t="s">
        <v>1740</v>
      </c>
      <c r="L342">
        <v>0</v>
      </c>
    </row>
    <row r="343" spans="2:12" ht="15" customHeight="1">
      <c r="B343">
        <v>2179</v>
      </c>
      <c r="C343" t="s">
        <v>371</v>
      </c>
      <c r="D343" t="s">
        <v>191</v>
      </c>
      <c r="E343" t="s">
        <v>931</v>
      </c>
      <c r="F343" t="s">
        <v>1042</v>
      </c>
      <c r="G343" s="475" t="s">
        <v>1741</v>
      </c>
      <c r="H343" s="475" t="s">
        <v>1742</v>
      </c>
      <c r="I343">
        <v>126</v>
      </c>
      <c r="J343" t="s">
        <v>1743</v>
      </c>
      <c r="L343">
        <v>276097200984551</v>
      </c>
    </row>
    <row r="344" spans="2:12" ht="15" customHeight="1">
      <c r="B344">
        <v>2180</v>
      </c>
      <c r="C344" t="s">
        <v>760</v>
      </c>
      <c r="D344" t="s">
        <v>126</v>
      </c>
      <c r="E344" t="s">
        <v>886</v>
      </c>
      <c r="F344" t="s">
        <v>359</v>
      </c>
      <c r="G344" s="475" t="s">
        <v>891</v>
      </c>
      <c r="H344" s="475" t="s">
        <v>1738</v>
      </c>
      <c r="I344" t="s">
        <v>835</v>
      </c>
      <c r="J344" t="s">
        <v>1744</v>
      </c>
      <c r="L344">
        <v>276096909185988</v>
      </c>
    </row>
    <row r="345" spans="2:12" ht="15" customHeight="1">
      <c r="B345">
        <v>2184</v>
      </c>
      <c r="C345" t="s">
        <v>1745</v>
      </c>
      <c r="D345" t="s">
        <v>126</v>
      </c>
      <c r="E345" t="s">
        <v>886</v>
      </c>
      <c r="F345" t="s">
        <v>251</v>
      </c>
      <c r="G345" s="475" t="s">
        <v>1746</v>
      </c>
      <c r="H345" s="475" t="s">
        <v>1747</v>
      </c>
      <c r="I345" t="s">
        <v>835</v>
      </c>
      <c r="J345" t="s">
        <v>676</v>
      </c>
      <c r="L345">
        <v>276096901175713</v>
      </c>
    </row>
    <row r="346" spans="2:12" ht="15" customHeight="1">
      <c r="B346">
        <v>2185</v>
      </c>
      <c r="C346" t="s">
        <v>255</v>
      </c>
      <c r="D346" t="s">
        <v>185</v>
      </c>
      <c r="E346" t="s">
        <v>886</v>
      </c>
      <c r="F346" t="s">
        <v>269</v>
      </c>
      <c r="G346" s="475" t="s">
        <v>1748</v>
      </c>
      <c r="H346" s="475" t="s">
        <v>1749</v>
      </c>
      <c r="I346" t="s">
        <v>835</v>
      </c>
      <c r="J346" t="s">
        <v>484</v>
      </c>
      <c r="L346">
        <v>0</v>
      </c>
    </row>
    <row r="347" spans="2:12" ht="15" customHeight="1">
      <c r="B347">
        <v>2186</v>
      </c>
      <c r="C347" t="s">
        <v>1750</v>
      </c>
      <c r="D347" t="s">
        <v>424</v>
      </c>
      <c r="E347" t="s">
        <v>886</v>
      </c>
      <c r="F347" t="s">
        <v>674</v>
      </c>
      <c r="G347" s="475" t="s">
        <v>1751</v>
      </c>
      <c r="H347" s="475" t="s">
        <v>1752</v>
      </c>
      <c r="I347" t="s">
        <v>835</v>
      </c>
      <c r="J347" t="s">
        <v>1753</v>
      </c>
      <c r="L347">
        <v>276098104723707</v>
      </c>
    </row>
    <row r="348" spans="2:12" ht="15" customHeight="1">
      <c r="B348">
        <v>2189</v>
      </c>
      <c r="C348" t="s">
        <v>114</v>
      </c>
      <c r="D348" t="s">
        <v>1554</v>
      </c>
      <c r="E348" t="s">
        <v>923</v>
      </c>
      <c r="F348" t="s">
        <v>412</v>
      </c>
      <c r="G348" s="475" t="s">
        <v>1754</v>
      </c>
      <c r="H348" s="475" t="s">
        <v>1031</v>
      </c>
      <c r="I348">
        <v>3521</v>
      </c>
      <c r="J348" t="s">
        <v>1755</v>
      </c>
      <c r="L348">
        <v>276094100173392</v>
      </c>
    </row>
    <row r="349" spans="2:12" ht="15" customHeight="1">
      <c r="B349">
        <v>2191</v>
      </c>
      <c r="C349" t="s">
        <v>1756</v>
      </c>
      <c r="D349" t="s">
        <v>123</v>
      </c>
      <c r="E349" t="s">
        <v>886</v>
      </c>
      <c r="F349" t="s">
        <v>269</v>
      </c>
      <c r="G349" s="475" t="s">
        <v>1757</v>
      </c>
      <c r="H349" s="475" t="s">
        <v>1758</v>
      </c>
      <c r="I349" t="s">
        <v>835</v>
      </c>
      <c r="J349" t="s">
        <v>1455</v>
      </c>
      <c r="L349">
        <v>900164000263039</v>
      </c>
    </row>
    <row r="350" spans="2:12" ht="15" customHeight="1">
      <c r="B350">
        <v>2192</v>
      </c>
      <c r="C350" t="s">
        <v>1759</v>
      </c>
      <c r="D350" t="s">
        <v>126</v>
      </c>
      <c r="E350" t="s">
        <v>886</v>
      </c>
      <c r="F350" t="s">
        <v>232</v>
      </c>
      <c r="G350" s="475" t="s">
        <v>1760</v>
      </c>
      <c r="H350" s="475" t="s">
        <v>1761</v>
      </c>
      <c r="I350" t="s">
        <v>835</v>
      </c>
      <c r="J350" t="s">
        <v>1522</v>
      </c>
      <c r="L350">
        <v>276093400335579</v>
      </c>
    </row>
    <row r="351" spans="2:12" ht="15" customHeight="1">
      <c r="B351">
        <v>2193</v>
      </c>
      <c r="C351" t="s">
        <v>1762</v>
      </c>
      <c r="D351" t="s">
        <v>103</v>
      </c>
      <c r="E351" t="s">
        <v>886</v>
      </c>
      <c r="F351" t="s">
        <v>409</v>
      </c>
      <c r="G351" s="475" t="s">
        <v>1763</v>
      </c>
      <c r="H351" s="475" t="s">
        <v>1764</v>
      </c>
      <c r="I351" t="s">
        <v>835</v>
      </c>
      <c r="L351">
        <v>276098104448904</v>
      </c>
    </row>
    <row r="352" spans="2:12" ht="15" customHeight="1">
      <c r="B352">
        <v>2195</v>
      </c>
      <c r="C352" t="s">
        <v>1765</v>
      </c>
      <c r="D352" t="s">
        <v>580</v>
      </c>
      <c r="E352" t="s">
        <v>931</v>
      </c>
      <c r="F352" t="s">
        <v>216</v>
      </c>
      <c r="G352" s="475" t="s">
        <v>1766</v>
      </c>
      <c r="H352" s="475" t="s">
        <v>1767</v>
      </c>
      <c r="I352" t="s">
        <v>836</v>
      </c>
      <c r="J352" t="s">
        <v>1768</v>
      </c>
      <c r="L352">
        <v>276098102963618</v>
      </c>
    </row>
    <row r="353" spans="2:12" ht="15" customHeight="1">
      <c r="B353">
        <v>2196</v>
      </c>
      <c r="C353" t="s">
        <v>1769</v>
      </c>
      <c r="D353" t="s">
        <v>103</v>
      </c>
      <c r="E353" t="s">
        <v>886</v>
      </c>
      <c r="F353" t="s">
        <v>1770</v>
      </c>
      <c r="G353" s="475" t="s">
        <v>1771</v>
      </c>
      <c r="H353" s="475" t="s">
        <v>1052</v>
      </c>
      <c r="I353">
        <v>10306</v>
      </c>
      <c r="J353" t="s">
        <v>1467</v>
      </c>
      <c r="L353">
        <v>40097809086443</v>
      </c>
    </row>
    <row r="354" spans="2:12" ht="15" customHeight="1">
      <c r="B354">
        <v>2198</v>
      </c>
      <c r="C354" t="s">
        <v>1772</v>
      </c>
      <c r="D354" t="s">
        <v>103</v>
      </c>
      <c r="E354" t="s">
        <v>886</v>
      </c>
      <c r="F354" t="s">
        <v>1346</v>
      </c>
      <c r="G354" s="475" t="s">
        <v>1773</v>
      </c>
      <c r="H354" s="475" t="s">
        <v>1007</v>
      </c>
      <c r="I354" t="s">
        <v>835</v>
      </c>
      <c r="J354" t="s">
        <v>1774</v>
      </c>
      <c r="L354">
        <v>276098104663135</v>
      </c>
    </row>
    <row r="355" spans="2:12" ht="15" customHeight="1">
      <c r="B355">
        <v>2200</v>
      </c>
      <c r="C355" t="s">
        <v>1775</v>
      </c>
      <c r="D355" t="s">
        <v>126</v>
      </c>
      <c r="E355" t="s">
        <v>886</v>
      </c>
      <c r="F355" t="s">
        <v>383</v>
      </c>
      <c r="G355" s="475" t="s">
        <v>1776</v>
      </c>
      <c r="H355" s="475" t="s">
        <v>1777</v>
      </c>
      <c r="I355" t="s">
        <v>835</v>
      </c>
      <c r="J355" t="s">
        <v>1778</v>
      </c>
      <c r="L355">
        <v>276095610019259</v>
      </c>
    </row>
    <row r="356" spans="2:12" ht="15" customHeight="1">
      <c r="B356">
        <v>2202</v>
      </c>
      <c r="C356" t="s">
        <v>223</v>
      </c>
      <c r="D356" t="s">
        <v>229</v>
      </c>
      <c r="E356" t="s">
        <v>931</v>
      </c>
      <c r="F356" t="s">
        <v>208</v>
      </c>
      <c r="G356" s="475" t="s">
        <v>1779</v>
      </c>
      <c r="H356" s="475" t="s">
        <v>1780</v>
      </c>
      <c r="I356">
        <v>8902</v>
      </c>
      <c r="J356" t="s">
        <v>1781</v>
      </c>
      <c r="L356">
        <v>276093400444235</v>
      </c>
    </row>
    <row r="357" spans="2:12" ht="15" customHeight="1">
      <c r="B357">
        <v>2210</v>
      </c>
      <c r="C357" t="s">
        <v>1782</v>
      </c>
      <c r="D357" t="s">
        <v>175</v>
      </c>
      <c r="E357" t="s">
        <v>886</v>
      </c>
      <c r="F357" t="s">
        <v>204</v>
      </c>
      <c r="G357" s="475" t="s">
        <v>1783</v>
      </c>
      <c r="H357" s="475" t="s">
        <v>1784</v>
      </c>
      <c r="I357" t="s">
        <v>835</v>
      </c>
      <c r="J357" t="s">
        <v>205</v>
      </c>
      <c r="L357">
        <v>276098104661138</v>
      </c>
    </row>
    <row r="358" spans="2:12" ht="15" customHeight="1">
      <c r="B358">
        <v>2213</v>
      </c>
      <c r="C358" t="s">
        <v>1785</v>
      </c>
      <c r="D358" t="s">
        <v>229</v>
      </c>
      <c r="E358" t="s">
        <v>923</v>
      </c>
      <c r="F358" t="s">
        <v>1786</v>
      </c>
      <c r="G358" s="475" t="s">
        <v>1787</v>
      </c>
      <c r="H358" s="475" t="s">
        <v>1044</v>
      </c>
      <c r="I358">
        <v>8109</v>
      </c>
      <c r="J358" t="s">
        <v>1423</v>
      </c>
      <c r="L358">
        <v>900096000012903</v>
      </c>
    </row>
    <row r="359" spans="2:12" ht="15" customHeight="1">
      <c r="B359">
        <v>2216</v>
      </c>
      <c r="C359" t="s">
        <v>194</v>
      </c>
      <c r="D359" t="s">
        <v>415</v>
      </c>
      <c r="E359" t="s">
        <v>894</v>
      </c>
      <c r="F359" t="s">
        <v>277</v>
      </c>
      <c r="G359" s="475" t="s">
        <v>1788</v>
      </c>
      <c r="H359" s="475" t="s">
        <v>1789</v>
      </c>
      <c r="I359">
        <v>9102</v>
      </c>
      <c r="J359" t="s">
        <v>1790</v>
      </c>
      <c r="L359">
        <v>945000001020317</v>
      </c>
    </row>
    <row r="360" spans="2:12" ht="15" customHeight="1">
      <c r="B360">
        <v>2221</v>
      </c>
      <c r="C360" t="s">
        <v>571</v>
      </c>
      <c r="D360" t="s">
        <v>1791</v>
      </c>
      <c r="E360" t="s">
        <v>886</v>
      </c>
      <c r="F360" t="s">
        <v>381</v>
      </c>
      <c r="G360" s="475" t="s">
        <v>1792</v>
      </c>
      <c r="H360" s="475" t="s">
        <v>1092</v>
      </c>
      <c r="I360" t="s">
        <v>835</v>
      </c>
      <c r="J360" t="s">
        <v>1793</v>
      </c>
      <c r="L360">
        <v>276097209041184</v>
      </c>
    </row>
    <row r="361" spans="2:12" ht="15" customHeight="1">
      <c r="B361">
        <v>2222</v>
      </c>
      <c r="C361" t="s">
        <v>1794</v>
      </c>
      <c r="D361" t="s">
        <v>103</v>
      </c>
      <c r="E361" t="s">
        <v>899</v>
      </c>
      <c r="F361" t="s">
        <v>176</v>
      </c>
      <c r="G361" s="475" t="s">
        <v>1795</v>
      </c>
      <c r="H361" s="475" t="s">
        <v>1695</v>
      </c>
      <c r="I361">
        <v>6312</v>
      </c>
      <c r="J361" t="s">
        <v>270</v>
      </c>
      <c r="L361">
        <v>981100004013888</v>
      </c>
    </row>
    <row r="362" spans="2:12" ht="15" customHeight="1">
      <c r="B362">
        <v>2224</v>
      </c>
      <c r="C362" t="s">
        <v>1796</v>
      </c>
      <c r="D362" t="s">
        <v>1797</v>
      </c>
      <c r="E362" t="s">
        <v>928</v>
      </c>
      <c r="F362" t="s">
        <v>286</v>
      </c>
      <c r="G362" s="475" t="s">
        <v>1798</v>
      </c>
      <c r="H362" s="475" t="s">
        <v>1799</v>
      </c>
      <c r="I362">
        <v>2309</v>
      </c>
      <c r="J362" t="s">
        <v>531</v>
      </c>
      <c r="L362">
        <v>900182000426404</v>
      </c>
    </row>
    <row r="363" spans="2:12" ht="15" customHeight="1">
      <c r="B363">
        <v>2227</v>
      </c>
      <c r="C363" t="s">
        <v>1800</v>
      </c>
      <c r="D363" t="s">
        <v>126</v>
      </c>
      <c r="E363" t="s">
        <v>886</v>
      </c>
      <c r="F363" t="s">
        <v>184</v>
      </c>
      <c r="G363" s="475" t="s">
        <v>1801</v>
      </c>
      <c r="H363" s="475" t="s">
        <v>1802</v>
      </c>
      <c r="I363" t="s">
        <v>835</v>
      </c>
      <c r="J363" t="s">
        <v>396</v>
      </c>
      <c r="L363">
        <v>276094180006224</v>
      </c>
    </row>
    <row r="364" spans="2:12" ht="15" customHeight="1">
      <c r="B364">
        <v>2229</v>
      </c>
      <c r="C364" t="s">
        <v>1803</v>
      </c>
      <c r="D364" t="s">
        <v>465</v>
      </c>
      <c r="E364" t="s">
        <v>886</v>
      </c>
      <c r="F364" t="s">
        <v>228</v>
      </c>
      <c r="G364" s="475" t="s">
        <v>1771</v>
      </c>
      <c r="H364" s="475" t="s">
        <v>1804</v>
      </c>
      <c r="I364" t="s">
        <v>835</v>
      </c>
      <c r="J364" t="s">
        <v>1548</v>
      </c>
      <c r="L364">
        <v>900000000029083</v>
      </c>
    </row>
    <row r="365" spans="2:12" ht="15" customHeight="1">
      <c r="B365">
        <v>2231</v>
      </c>
      <c r="C365" t="s">
        <v>1805</v>
      </c>
      <c r="D365" t="s">
        <v>1806</v>
      </c>
      <c r="E365" t="s">
        <v>886</v>
      </c>
      <c r="F365" t="s">
        <v>1807</v>
      </c>
      <c r="G365" s="475" t="s">
        <v>1808</v>
      </c>
      <c r="H365" s="475" t="s">
        <v>1809</v>
      </c>
      <c r="I365" t="s">
        <v>835</v>
      </c>
      <c r="J365" t="s">
        <v>1810</v>
      </c>
      <c r="L365">
        <v>276098102974521</v>
      </c>
    </row>
    <row r="366" spans="2:12" ht="15" customHeight="1">
      <c r="B366">
        <v>2232</v>
      </c>
      <c r="C366" t="s">
        <v>642</v>
      </c>
      <c r="D366" t="s">
        <v>333</v>
      </c>
      <c r="E366" t="s">
        <v>914</v>
      </c>
      <c r="F366" t="s">
        <v>670</v>
      </c>
      <c r="G366" s="475" t="s">
        <v>1811</v>
      </c>
      <c r="H366" s="475" t="s">
        <v>1556</v>
      </c>
      <c r="I366">
        <v>7501</v>
      </c>
      <c r="J366" t="s">
        <v>644</v>
      </c>
      <c r="L366">
        <v>276096900140772</v>
      </c>
    </row>
    <row r="367" spans="2:12" ht="15" customHeight="1">
      <c r="B367">
        <v>2234</v>
      </c>
      <c r="C367" t="s">
        <v>1812</v>
      </c>
      <c r="D367" t="s">
        <v>126</v>
      </c>
      <c r="E367" t="s">
        <v>886</v>
      </c>
      <c r="F367" t="s">
        <v>187</v>
      </c>
      <c r="G367" s="475" t="s">
        <v>1788</v>
      </c>
      <c r="H367" s="475" t="s">
        <v>1813</v>
      </c>
      <c r="I367" t="s">
        <v>835</v>
      </c>
      <c r="J367" t="s">
        <v>1814</v>
      </c>
      <c r="L367">
        <v>276097202076349</v>
      </c>
    </row>
    <row r="368" spans="2:12" ht="15" customHeight="1">
      <c r="B368">
        <v>2240</v>
      </c>
      <c r="C368" t="s">
        <v>1815</v>
      </c>
      <c r="D368" t="s">
        <v>103</v>
      </c>
      <c r="E368" t="s">
        <v>894</v>
      </c>
      <c r="F368" t="s">
        <v>176</v>
      </c>
      <c r="G368" s="475" t="s">
        <v>1816</v>
      </c>
      <c r="H368" s="475" t="s">
        <v>1817</v>
      </c>
      <c r="I368" t="s">
        <v>836</v>
      </c>
      <c r="J368" t="s">
        <v>419</v>
      </c>
      <c r="L368">
        <v>276098104822951</v>
      </c>
    </row>
    <row r="369" spans="2:12" ht="15" customHeight="1">
      <c r="B369">
        <v>2242</v>
      </c>
      <c r="C369" t="s">
        <v>1818</v>
      </c>
      <c r="D369" t="s">
        <v>422</v>
      </c>
      <c r="E369" t="s">
        <v>903</v>
      </c>
      <c r="F369" t="s">
        <v>1819</v>
      </c>
      <c r="G369" s="475" t="s">
        <v>1820</v>
      </c>
      <c r="H369" s="475" t="s">
        <v>1047</v>
      </c>
      <c r="I369" t="s">
        <v>836</v>
      </c>
      <c r="J369" t="s">
        <v>583</v>
      </c>
      <c r="L369">
        <v>934000011112806</v>
      </c>
    </row>
    <row r="370" spans="2:12" ht="15" customHeight="1">
      <c r="B370">
        <v>2243</v>
      </c>
      <c r="C370" t="s">
        <v>1821</v>
      </c>
      <c r="D370" t="s">
        <v>126</v>
      </c>
      <c r="E370" t="s">
        <v>886</v>
      </c>
      <c r="F370" t="s">
        <v>196</v>
      </c>
      <c r="G370" s="475" t="s">
        <v>1822</v>
      </c>
      <c r="H370" s="475" t="s">
        <v>1823</v>
      </c>
      <c r="I370" t="s">
        <v>835</v>
      </c>
      <c r="J370" t="s">
        <v>279</v>
      </c>
      <c r="L370">
        <v>276098104272205</v>
      </c>
    </row>
    <row r="371" spans="2:12" ht="15" customHeight="1">
      <c r="B371">
        <v>2244</v>
      </c>
      <c r="C371" t="s">
        <v>113</v>
      </c>
      <c r="D371" t="s">
        <v>103</v>
      </c>
      <c r="E371" t="s">
        <v>894</v>
      </c>
      <c r="F371" t="s">
        <v>1824</v>
      </c>
      <c r="G371" s="475" t="s">
        <v>895</v>
      </c>
      <c r="H371" s="475" t="s">
        <v>1825</v>
      </c>
      <c r="I371">
        <v>6314</v>
      </c>
      <c r="J371" t="s">
        <v>725</v>
      </c>
      <c r="L371">
        <v>276096909253676</v>
      </c>
    </row>
    <row r="372" spans="2:12" ht="15" customHeight="1">
      <c r="B372">
        <v>2245</v>
      </c>
      <c r="C372" t="s">
        <v>1826</v>
      </c>
      <c r="D372" t="s">
        <v>567</v>
      </c>
      <c r="E372" t="s">
        <v>886</v>
      </c>
      <c r="F372" t="s">
        <v>1489</v>
      </c>
      <c r="G372" s="475" t="s">
        <v>1827</v>
      </c>
      <c r="H372" s="475" t="s">
        <v>1828</v>
      </c>
      <c r="I372" t="s">
        <v>835</v>
      </c>
      <c r="J372" t="s">
        <v>1491</v>
      </c>
      <c r="L372">
        <v>276096901106402</v>
      </c>
    </row>
    <row r="373" spans="2:12" ht="15" customHeight="1">
      <c r="B373">
        <v>2246</v>
      </c>
      <c r="C373" t="s">
        <v>1829</v>
      </c>
      <c r="D373" t="s">
        <v>1510</v>
      </c>
      <c r="E373" t="s">
        <v>886</v>
      </c>
      <c r="F373" t="s">
        <v>256</v>
      </c>
      <c r="G373" s="475" t="s">
        <v>1830</v>
      </c>
      <c r="H373" s="475" t="s">
        <v>1001</v>
      </c>
      <c r="I373" t="s">
        <v>835</v>
      </c>
      <c r="J373" t="s">
        <v>737</v>
      </c>
      <c r="L373">
        <v>276098104790876</v>
      </c>
    </row>
    <row r="374" spans="2:12" ht="15" customHeight="1">
      <c r="B374">
        <v>2247</v>
      </c>
      <c r="C374" t="s">
        <v>1831</v>
      </c>
      <c r="D374" t="s">
        <v>123</v>
      </c>
      <c r="E374" t="s">
        <v>886</v>
      </c>
      <c r="F374" t="s">
        <v>294</v>
      </c>
      <c r="G374" s="475" t="s">
        <v>1832</v>
      </c>
      <c r="H374" s="475" t="s">
        <v>1833</v>
      </c>
      <c r="I374" t="s">
        <v>835</v>
      </c>
      <c r="J374" t="s">
        <v>1834</v>
      </c>
      <c r="L374">
        <v>941000013509264</v>
      </c>
    </row>
    <row r="375" spans="2:12" ht="15" customHeight="1">
      <c r="B375">
        <v>2250</v>
      </c>
      <c r="C375" t="s">
        <v>417</v>
      </c>
      <c r="D375" t="s">
        <v>123</v>
      </c>
      <c r="E375" t="s">
        <v>903</v>
      </c>
      <c r="F375" t="s">
        <v>1835</v>
      </c>
      <c r="G375" s="475" t="s">
        <v>1836</v>
      </c>
      <c r="H375" s="475" t="s">
        <v>1837</v>
      </c>
      <c r="I375" t="s">
        <v>836</v>
      </c>
      <c r="J375" t="s">
        <v>1838</v>
      </c>
      <c r="L375">
        <v>276093400449102</v>
      </c>
    </row>
    <row r="376" spans="2:12" ht="15" customHeight="1">
      <c r="B376">
        <v>2251</v>
      </c>
      <c r="C376" t="s">
        <v>217</v>
      </c>
      <c r="D376" t="s">
        <v>245</v>
      </c>
      <c r="E376" t="s">
        <v>931</v>
      </c>
      <c r="F376" t="s">
        <v>1839</v>
      </c>
      <c r="G376" s="475" t="s">
        <v>1840</v>
      </c>
      <c r="H376" s="475" t="s">
        <v>1841</v>
      </c>
      <c r="I376">
        <v>5114</v>
      </c>
      <c r="J376" t="s">
        <v>1842</v>
      </c>
      <c r="L376">
        <v>276094500074316</v>
      </c>
    </row>
    <row r="377" spans="2:12" ht="15" customHeight="1">
      <c r="B377">
        <v>2252</v>
      </c>
      <c r="C377" t="s">
        <v>1843</v>
      </c>
      <c r="D377" t="s">
        <v>123</v>
      </c>
      <c r="E377" t="s">
        <v>886</v>
      </c>
      <c r="F377" t="s">
        <v>399</v>
      </c>
      <c r="G377" s="475" t="s">
        <v>1844</v>
      </c>
      <c r="H377" s="475" t="s">
        <v>1845</v>
      </c>
      <c r="I377" t="s">
        <v>835</v>
      </c>
      <c r="J377" t="s">
        <v>739</v>
      </c>
      <c r="L377">
        <v>941000014847268</v>
      </c>
    </row>
    <row r="378" spans="2:12" ht="15" customHeight="1">
      <c r="B378">
        <v>2253</v>
      </c>
      <c r="C378" t="s">
        <v>1846</v>
      </c>
      <c r="D378" t="s">
        <v>1847</v>
      </c>
      <c r="E378" t="s">
        <v>914</v>
      </c>
      <c r="F378" t="s">
        <v>547</v>
      </c>
      <c r="G378" s="475" t="s">
        <v>1848</v>
      </c>
      <c r="H378" s="475" t="s">
        <v>1731</v>
      </c>
      <c r="I378">
        <v>811</v>
      </c>
      <c r="J378" t="s">
        <v>1849</v>
      </c>
      <c r="L378">
        <v>276097209035357</v>
      </c>
    </row>
    <row r="379" spans="2:12" ht="15" customHeight="1">
      <c r="B379">
        <v>2254</v>
      </c>
      <c r="C379" t="s">
        <v>558</v>
      </c>
      <c r="D379" t="s">
        <v>103</v>
      </c>
      <c r="E379" t="s">
        <v>886</v>
      </c>
      <c r="F379" t="s">
        <v>1850</v>
      </c>
      <c r="G379" s="475" t="s">
        <v>1851</v>
      </c>
      <c r="H379" s="475" t="s">
        <v>905</v>
      </c>
      <c r="I379" t="s">
        <v>835</v>
      </c>
      <c r="J379" t="s">
        <v>942</v>
      </c>
      <c r="L379">
        <v>276096909281476</v>
      </c>
    </row>
    <row r="380" spans="2:12" ht="15" customHeight="1">
      <c r="B380">
        <v>2255</v>
      </c>
      <c r="C380" t="s">
        <v>1852</v>
      </c>
      <c r="D380" t="s">
        <v>103</v>
      </c>
      <c r="E380" t="s">
        <v>886</v>
      </c>
      <c r="F380" t="s">
        <v>254</v>
      </c>
      <c r="G380" s="475" t="s">
        <v>1771</v>
      </c>
      <c r="H380" s="475" t="s">
        <v>1656</v>
      </c>
      <c r="I380" t="s">
        <v>835</v>
      </c>
      <c r="J380" t="s">
        <v>556</v>
      </c>
      <c r="L380">
        <v>40097809130572</v>
      </c>
    </row>
    <row r="381" spans="2:12" ht="15" customHeight="1">
      <c r="B381">
        <v>2256</v>
      </c>
      <c r="C381" t="s">
        <v>1853</v>
      </c>
      <c r="D381" t="s">
        <v>103</v>
      </c>
      <c r="E381" t="s">
        <v>894</v>
      </c>
      <c r="F381" t="s">
        <v>269</v>
      </c>
      <c r="G381" s="475" t="s">
        <v>1854</v>
      </c>
      <c r="H381" s="475" t="s">
        <v>1168</v>
      </c>
      <c r="I381">
        <v>10307</v>
      </c>
      <c r="J381" t="s">
        <v>1855</v>
      </c>
      <c r="L381">
        <v>40098100375900</v>
      </c>
    </row>
    <row r="382" spans="2:12" ht="15" customHeight="1">
      <c r="B382">
        <v>2258</v>
      </c>
      <c r="C382" t="s">
        <v>1856</v>
      </c>
      <c r="D382" t="s">
        <v>185</v>
      </c>
      <c r="E382" t="s">
        <v>886</v>
      </c>
      <c r="F382" t="s">
        <v>619</v>
      </c>
      <c r="G382" s="475" t="s">
        <v>1857</v>
      </c>
      <c r="H382" s="475" t="s">
        <v>1143</v>
      </c>
      <c r="I382" t="s">
        <v>835</v>
      </c>
      <c r="J382" t="s">
        <v>1858</v>
      </c>
      <c r="L382">
        <v>276098200052742</v>
      </c>
    </row>
    <row r="383" spans="2:12" ht="15" customHeight="1">
      <c r="B383">
        <v>2259</v>
      </c>
      <c r="C383" t="s">
        <v>1859</v>
      </c>
      <c r="D383" t="s">
        <v>126</v>
      </c>
      <c r="E383" t="s">
        <v>886</v>
      </c>
      <c r="F383" t="s">
        <v>327</v>
      </c>
      <c r="G383" s="475" t="s">
        <v>1860</v>
      </c>
      <c r="H383" s="475" t="s">
        <v>1861</v>
      </c>
      <c r="I383" t="s">
        <v>835</v>
      </c>
      <c r="J383" t="s">
        <v>1862</v>
      </c>
      <c r="L383">
        <v>276097202258335</v>
      </c>
    </row>
    <row r="384" spans="2:12" ht="15" customHeight="1">
      <c r="B384">
        <v>2261</v>
      </c>
      <c r="C384" t="s">
        <v>1863</v>
      </c>
      <c r="D384" t="s">
        <v>131</v>
      </c>
      <c r="E384" t="s">
        <v>903</v>
      </c>
      <c r="F384" t="s">
        <v>768</v>
      </c>
      <c r="G384" s="475" t="s">
        <v>1864</v>
      </c>
      <c r="H384" s="475" t="s">
        <v>1865</v>
      </c>
      <c r="I384">
        <v>3317</v>
      </c>
      <c r="J384" t="s">
        <v>1866</v>
      </c>
      <c r="L384">
        <v>945000001114604</v>
      </c>
    </row>
    <row r="385" spans="2:12" ht="15" customHeight="1">
      <c r="B385">
        <v>2262</v>
      </c>
      <c r="C385" t="s">
        <v>1867</v>
      </c>
      <c r="D385" t="s">
        <v>103</v>
      </c>
      <c r="E385" t="s">
        <v>894</v>
      </c>
      <c r="F385" t="s">
        <v>318</v>
      </c>
      <c r="G385" s="475" t="s">
        <v>1868</v>
      </c>
      <c r="H385" s="475" t="s">
        <v>1445</v>
      </c>
      <c r="I385">
        <v>9101</v>
      </c>
      <c r="J385" t="s">
        <v>602</v>
      </c>
      <c r="L385">
        <v>276098104738956</v>
      </c>
    </row>
    <row r="386" spans="2:12" ht="15" customHeight="1">
      <c r="B386">
        <v>2263</v>
      </c>
      <c r="C386" t="s">
        <v>791</v>
      </c>
      <c r="D386" t="s">
        <v>103</v>
      </c>
      <c r="E386" t="s">
        <v>899</v>
      </c>
      <c r="F386" t="s">
        <v>176</v>
      </c>
      <c r="G386" s="475" t="s">
        <v>1836</v>
      </c>
      <c r="H386" s="475" t="s">
        <v>1632</v>
      </c>
      <c r="I386">
        <v>8601</v>
      </c>
      <c r="L386">
        <v>276098104650894</v>
      </c>
    </row>
    <row r="387" spans="2:12" ht="15" customHeight="1">
      <c r="B387">
        <v>2264</v>
      </c>
      <c r="C387" t="s">
        <v>681</v>
      </c>
      <c r="D387" t="s">
        <v>126</v>
      </c>
      <c r="E387" t="s">
        <v>886</v>
      </c>
      <c r="F387" t="s">
        <v>376</v>
      </c>
      <c r="G387" s="475" t="s">
        <v>1869</v>
      </c>
      <c r="H387" s="475" t="s">
        <v>971</v>
      </c>
      <c r="I387" t="s">
        <v>835</v>
      </c>
      <c r="J387" t="s">
        <v>1870</v>
      </c>
      <c r="L387">
        <v>945000001290154</v>
      </c>
    </row>
    <row r="388" spans="2:12" ht="15" customHeight="1">
      <c r="B388">
        <v>2265</v>
      </c>
      <c r="C388" t="s">
        <v>1871</v>
      </c>
      <c r="D388" t="s">
        <v>449</v>
      </c>
      <c r="E388" t="s">
        <v>886</v>
      </c>
      <c r="F388" t="s">
        <v>1872</v>
      </c>
      <c r="G388" s="475" t="s">
        <v>1873</v>
      </c>
      <c r="H388" s="475" t="s">
        <v>1874</v>
      </c>
      <c r="I388" t="s">
        <v>835</v>
      </c>
      <c r="J388" t="s">
        <v>456</v>
      </c>
      <c r="L388">
        <v>94500001255912</v>
      </c>
    </row>
    <row r="389" spans="2:12" ht="15" customHeight="1">
      <c r="B389">
        <v>2268</v>
      </c>
      <c r="C389" t="s">
        <v>1875</v>
      </c>
      <c r="D389" t="s">
        <v>441</v>
      </c>
      <c r="E389" t="s">
        <v>1876</v>
      </c>
      <c r="F389" t="s">
        <v>1877</v>
      </c>
      <c r="G389" s="475" t="s">
        <v>1878</v>
      </c>
      <c r="H389" s="475" t="s">
        <v>921</v>
      </c>
      <c r="I389" t="s">
        <v>836</v>
      </c>
      <c r="J389" t="s">
        <v>1879</v>
      </c>
      <c r="L389">
        <v>276098102874117</v>
      </c>
    </row>
    <row r="390" spans="2:12" ht="15" customHeight="1">
      <c r="B390">
        <v>2269</v>
      </c>
      <c r="C390" t="s">
        <v>1880</v>
      </c>
      <c r="D390" t="s">
        <v>126</v>
      </c>
      <c r="E390" t="s">
        <v>894</v>
      </c>
      <c r="F390" t="s">
        <v>1881</v>
      </c>
      <c r="G390" s="475" t="s">
        <v>1882</v>
      </c>
      <c r="H390" s="475" t="s">
        <v>1179</v>
      </c>
      <c r="I390">
        <v>4607</v>
      </c>
      <c r="J390" t="s">
        <v>1883</v>
      </c>
      <c r="L390">
        <v>276097202179372</v>
      </c>
    </row>
    <row r="391" spans="2:12" ht="15" customHeight="1">
      <c r="B391">
        <v>2270</v>
      </c>
      <c r="C391" t="s">
        <v>280</v>
      </c>
      <c r="D391" t="s">
        <v>126</v>
      </c>
      <c r="E391" t="s">
        <v>886</v>
      </c>
      <c r="F391" t="s">
        <v>340</v>
      </c>
      <c r="G391" s="475" t="s">
        <v>1884</v>
      </c>
      <c r="H391" s="475" t="s">
        <v>1885</v>
      </c>
      <c r="I391" t="s">
        <v>835</v>
      </c>
      <c r="J391" t="s">
        <v>1886</v>
      </c>
      <c r="L391">
        <v>276098104353671</v>
      </c>
    </row>
    <row r="392" spans="2:12" ht="15" customHeight="1">
      <c r="B392">
        <v>2272</v>
      </c>
      <c r="C392" t="s">
        <v>1887</v>
      </c>
      <c r="D392" t="s">
        <v>131</v>
      </c>
      <c r="E392" t="s">
        <v>903</v>
      </c>
      <c r="F392" t="s">
        <v>228</v>
      </c>
      <c r="G392" s="475" t="s">
        <v>1888</v>
      </c>
      <c r="H392" s="475" t="s">
        <v>1889</v>
      </c>
      <c r="I392">
        <v>2006</v>
      </c>
      <c r="J392" t="s">
        <v>1890</v>
      </c>
      <c r="L392">
        <v>276098104923314</v>
      </c>
    </row>
    <row r="393" spans="2:12" ht="15" customHeight="1">
      <c r="B393">
        <v>2274</v>
      </c>
      <c r="C393" t="s">
        <v>1891</v>
      </c>
      <c r="D393" t="s">
        <v>266</v>
      </c>
      <c r="E393" t="s">
        <v>886</v>
      </c>
      <c r="F393" t="s">
        <v>1892</v>
      </c>
      <c r="G393" s="475" t="s">
        <v>1893</v>
      </c>
      <c r="H393" s="475" t="s">
        <v>1894</v>
      </c>
      <c r="I393" t="s">
        <v>835</v>
      </c>
      <c r="J393" t="s">
        <v>1895</v>
      </c>
      <c r="L393">
        <v>276098104153446</v>
      </c>
    </row>
    <row r="394" spans="2:12" ht="15" customHeight="1">
      <c r="B394">
        <v>2276</v>
      </c>
      <c r="C394" t="s">
        <v>365</v>
      </c>
      <c r="D394" t="s">
        <v>245</v>
      </c>
      <c r="E394" t="s">
        <v>931</v>
      </c>
      <c r="F394" t="s">
        <v>331</v>
      </c>
      <c r="G394" s="475" t="s">
        <v>1896</v>
      </c>
      <c r="H394" s="475" t="s">
        <v>1897</v>
      </c>
      <c r="I394">
        <v>5807</v>
      </c>
      <c r="J394" t="s">
        <v>1898</v>
      </c>
      <c r="L394">
        <v>276098104715456</v>
      </c>
    </row>
    <row r="395" spans="2:12" ht="15" customHeight="1">
      <c r="B395">
        <v>2277</v>
      </c>
      <c r="C395" t="s">
        <v>1899</v>
      </c>
      <c r="D395" t="s">
        <v>1900</v>
      </c>
      <c r="E395" t="s">
        <v>886</v>
      </c>
      <c r="F395" t="s">
        <v>370</v>
      </c>
      <c r="G395" s="475" t="s">
        <v>1566</v>
      </c>
      <c r="H395" s="475" t="s">
        <v>1505</v>
      </c>
      <c r="I395" t="s">
        <v>835</v>
      </c>
      <c r="J395" t="s">
        <v>1901</v>
      </c>
      <c r="L395">
        <v>276096100306951</v>
      </c>
    </row>
    <row r="396" spans="2:12" ht="15" customHeight="1">
      <c r="B396">
        <v>2279</v>
      </c>
      <c r="C396" t="s">
        <v>1902</v>
      </c>
      <c r="D396" t="s">
        <v>185</v>
      </c>
      <c r="E396" t="s">
        <v>886</v>
      </c>
      <c r="F396" t="s">
        <v>202</v>
      </c>
      <c r="G396" s="475" t="s">
        <v>1903</v>
      </c>
      <c r="H396" s="475" t="s">
        <v>1904</v>
      </c>
      <c r="I396" t="s">
        <v>835</v>
      </c>
      <c r="J396" t="s">
        <v>1905</v>
      </c>
      <c r="L396">
        <v>276098104463182</v>
      </c>
    </row>
    <row r="397" spans="2:12" ht="15" customHeight="1">
      <c r="B397">
        <v>2281</v>
      </c>
      <c r="C397" t="s">
        <v>585</v>
      </c>
      <c r="D397" t="s">
        <v>1906</v>
      </c>
      <c r="E397" t="s">
        <v>886</v>
      </c>
      <c r="F397" t="s">
        <v>569</v>
      </c>
      <c r="G397" s="475" t="s">
        <v>1907</v>
      </c>
      <c r="H397" s="475" t="s">
        <v>1908</v>
      </c>
      <c r="I397" t="s">
        <v>835</v>
      </c>
      <c r="L397">
        <v>276096909194822</v>
      </c>
    </row>
    <row r="398" spans="2:12" ht="15" customHeight="1">
      <c r="B398">
        <v>2282</v>
      </c>
      <c r="C398" t="s">
        <v>459</v>
      </c>
      <c r="D398" t="s">
        <v>191</v>
      </c>
      <c r="E398" t="s">
        <v>931</v>
      </c>
      <c r="F398" t="s">
        <v>186</v>
      </c>
      <c r="G398" s="475" t="s">
        <v>1909</v>
      </c>
      <c r="H398" s="475" t="s">
        <v>1058</v>
      </c>
      <c r="I398">
        <v>2702</v>
      </c>
      <c r="L398">
        <v>276098104139381</v>
      </c>
    </row>
    <row r="399" spans="2:12" ht="15" customHeight="1">
      <c r="B399">
        <v>2283</v>
      </c>
      <c r="C399" t="s">
        <v>573</v>
      </c>
      <c r="D399" t="s">
        <v>103</v>
      </c>
      <c r="E399" t="s">
        <v>886</v>
      </c>
      <c r="F399" t="s">
        <v>309</v>
      </c>
      <c r="G399" s="475" t="s">
        <v>1910</v>
      </c>
      <c r="H399" s="475" t="s">
        <v>1695</v>
      </c>
      <c r="I399" t="s">
        <v>835</v>
      </c>
      <c r="L399">
        <v>276098104225830</v>
      </c>
    </row>
    <row r="400" spans="2:9" ht="15" customHeight="1">
      <c r="B400">
        <v>2284</v>
      </c>
      <c r="C400" t="s">
        <v>1911</v>
      </c>
      <c r="D400" t="s">
        <v>1912</v>
      </c>
      <c r="E400" t="s">
        <v>886</v>
      </c>
      <c r="F400" t="s">
        <v>309</v>
      </c>
      <c r="G400" s="475"/>
      <c r="H400" s="475" t="s">
        <v>1695</v>
      </c>
      <c r="I400" t="s">
        <v>835</v>
      </c>
    </row>
    <row r="401" spans="2:12" ht="15" customHeight="1">
      <c r="B401">
        <v>2286</v>
      </c>
      <c r="C401" t="s">
        <v>1913</v>
      </c>
      <c r="D401" t="s">
        <v>1914</v>
      </c>
      <c r="E401" t="s">
        <v>923</v>
      </c>
      <c r="F401" t="s">
        <v>215</v>
      </c>
      <c r="G401" s="475" t="s">
        <v>1915</v>
      </c>
      <c r="H401" s="475" t="s">
        <v>1916</v>
      </c>
      <c r="I401">
        <v>2705</v>
      </c>
      <c r="L401">
        <v>276096900283434</v>
      </c>
    </row>
    <row r="402" spans="2:12" ht="15" customHeight="1">
      <c r="B402">
        <v>2288</v>
      </c>
      <c r="C402" t="s">
        <v>1917</v>
      </c>
      <c r="D402" t="s">
        <v>103</v>
      </c>
      <c r="E402" t="s">
        <v>886</v>
      </c>
      <c r="F402" t="s">
        <v>636</v>
      </c>
      <c r="G402" s="475" t="s">
        <v>1918</v>
      </c>
      <c r="H402" s="475" t="s">
        <v>1919</v>
      </c>
      <c r="I402" t="s">
        <v>835</v>
      </c>
      <c r="J402" t="s">
        <v>1920</v>
      </c>
      <c r="L402">
        <v>276098104405597</v>
      </c>
    </row>
    <row r="403" spans="2:12" ht="15" customHeight="1">
      <c r="B403">
        <v>2290</v>
      </c>
      <c r="C403" t="s">
        <v>1658</v>
      </c>
      <c r="D403" t="s">
        <v>813</v>
      </c>
      <c r="E403" t="s">
        <v>886</v>
      </c>
      <c r="F403" t="s">
        <v>256</v>
      </c>
      <c r="G403" s="475" t="s">
        <v>1921</v>
      </c>
      <c r="H403" s="475" t="s">
        <v>1125</v>
      </c>
      <c r="I403" t="s">
        <v>835</v>
      </c>
      <c r="J403" t="s">
        <v>1922</v>
      </c>
      <c r="L403">
        <v>945000001192232</v>
      </c>
    </row>
    <row r="404" spans="2:12" ht="15" customHeight="1">
      <c r="B404">
        <v>2296</v>
      </c>
      <c r="C404" t="s">
        <v>121</v>
      </c>
      <c r="D404" t="s">
        <v>103</v>
      </c>
      <c r="E404" t="s">
        <v>886</v>
      </c>
      <c r="F404" t="s">
        <v>486</v>
      </c>
      <c r="G404" s="475" t="s">
        <v>1493</v>
      </c>
      <c r="H404" s="475" t="s">
        <v>1923</v>
      </c>
      <c r="I404" t="s">
        <v>835</v>
      </c>
      <c r="J404" t="s">
        <v>1924</v>
      </c>
      <c r="L404">
        <v>276098104356648</v>
      </c>
    </row>
    <row r="405" spans="2:12" ht="15" customHeight="1">
      <c r="B405">
        <v>2297</v>
      </c>
      <c r="C405" t="s">
        <v>1925</v>
      </c>
      <c r="D405" t="s">
        <v>103</v>
      </c>
      <c r="E405" t="s">
        <v>886</v>
      </c>
      <c r="F405" t="s">
        <v>486</v>
      </c>
      <c r="G405" s="475" t="s">
        <v>1926</v>
      </c>
      <c r="H405" s="475" t="s">
        <v>1927</v>
      </c>
      <c r="I405" t="s">
        <v>835</v>
      </c>
      <c r="J405" t="s">
        <v>1924</v>
      </c>
      <c r="L405">
        <v>276098104591884</v>
      </c>
    </row>
    <row r="406" spans="2:12" ht="15" customHeight="1">
      <c r="B406">
        <v>2298</v>
      </c>
      <c r="C406" t="s">
        <v>137</v>
      </c>
      <c r="D406" t="s">
        <v>741</v>
      </c>
      <c r="E406" t="s">
        <v>886</v>
      </c>
      <c r="F406" t="s">
        <v>1928</v>
      </c>
      <c r="G406" s="475" t="s">
        <v>1929</v>
      </c>
      <c r="H406" s="475" t="s">
        <v>1099</v>
      </c>
      <c r="I406" t="s">
        <v>835</v>
      </c>
      <c r="J406" t="s">
        <v>663</v>
      </c>
      <c r="L406">
        <v>276098104653017</v>
      </c>
    </row>
    <row r="407" spans="2:12" ht="15" customHeight="1">
      <c r="B407">
        <v>2300</v>
      </c>
      <c r="C407" t="s">
        <v>106</v>
      </c>
      <c r="D407" t="s">
        <v>1930</v>
      </c>
      <c r="E407" t="s">
        <v>886</v>
      </c>
      <c r="F407" t="s">
        <v>238</v>
      </c>
      <c r="G407" s="475" t="s">
        <v>1931</v>
      </c>
      <c r="H407" s="475" t="s">
        <v>1090</v>
      </c>
      <c r="I407" t="s">
        <v>835</v>
      </c>
      <c r="J407" t="s">
        <v>1932</v>
      </c>
      <c r="L407">
        <v>688035000097898</v>
      </c>
    </row>
    <row r="408" spans="2:12" ht="15" customHeight="1">
      <c r="B408">
        <v>2301</v>
      </c>
      <c r="C408" t="s">
        <v>1328</v>
      </c>
      <c r="D408" t="s">
        <v>131</v>
      </c>
      <c r="E408" t="s">
        <v>903</v>
      </c>
      <c r="F408" t="s">
        <v>412</v>
      </c>
      <c r="G408" s="475" t="s">
        <v>1933</v>
      </c>
      <c r="H408" s="475" t="s">
        <v>1143</v>
      </c>
      <c r="I408">
        <v>5519</v>
      </c>
      <c r="J408" t="s">
        <v>533</v>
      </c>
      <c r="L408">
        <v>972270000218918</v>
      </c>
    </row>
    <row r="409" spans="2:12" ht="15" customHeight="1">
      <c r="B409">
        <v>2303</v>
      </c>
      <c r="C409" t="s">
        <v>1934</v>
      </c>
      <c r="D409" t="s">
        <v>103</v>
      </c>
      <c r="E409" t="s">
        <v>886</v>
      </c>
      <c r="F409" t="s">
        <v>749</v>
      </c>
      <c r="G409" s="475" t="s">
        <v>1935</v>
      </c>
      <c r="H409" s="475" t="s">
        <v>1936</v>
      </c>
      <c r="I409" t="s">
        <v>835</v>
      </c>
      <c r="J409" t="s">
        <v>750</v>
      </c>
      <c r="L409">
        <v>276093400544219</v>
      </c>
    </row>
    <row r="410" spans="2:12" ht="12.75">
      <c r="B410">
        <v>2305</v>
      </c>
      <c r="C410" t="s">
        <v>1937</v>
      </c>
      <c r="D410" t="s">
        <v>103</v>
      </c>
      <c r="E410" t="s">
        <v>886</v>
      </c>
      <c r="F410" t="s">
        <v>625</v>
      </c>
      <c r="G410" s="475" t="s">
        <v>1938</v>
      </c>
      <c r="H410" s="475" t="s">
        <v>1939</v>
      </c>
      <c r="I410" t="s">
        <v>835</v>
      </c>
      <c r="J410" t="s">
        <v>181</v>
      </c>
      <c r="L410">
        <v>40097809040408</v>
      </c>
    </row>
    <row r="411" spans="2:12" ht="12.75">
      <c r="B411">
        <v>2306</v>
      </c>
      <c r="C411" t="s">
        <v>109</v>
      </c>
      <c r="D411" t="s">
        <v>126</v>
      </c>
      <c r="E411" t="s">
        <v>886</v>
      </c>
      <c r="F411" t="s">
        <v>625</v>
      </c>
      <c r="G411" s="475" t="s">
        <v>1940</v>
      </c>
      <c r="H411" s="475" t="s">
        <v>1941</v>
      </c>
      <c r="I411" t="s">
        <v>835</v>
      </c>
      <c r="J411" t="s">
        <v>181</v>
      </c>
      <c r="L411">
        <v>276097200647436</v>
      </c>
    </row>
    <row r="412" spans="2:12" ht="12.75">
      <c r="B412">
        <v>2307</v>
      </c>
      <c r="C412" t="s">
        <v>1942</v>
      </c>
      <c r="D412" t="s">
        <v>103</v>
      </c>
      <c r="E412" t="s">
        <v>899</v>
      </c>
      <c r="F412" t="s">
        <v>688</v>
      </c>
      <c r="G412" s="475" t="s">
        <v>1716</v>
      </c>
      <c r="H412" s="475" t="s">
        <v>1561</v>
      </c>
      <c r="I412">
        <v>8801</v>
      </c>
      <c r="J412" t="s">
        <v>1943</v>
      </c>
      <c r="L412">
        <v>40097809083761</v>
      </c>
    </row>
    <row r="413" spans="2:12" ht="12.75">
      <c r="B413">
        <v>2311</v>
      </c>
      <c r="C413" t="s">
        <v>1944</v>
      </c>
      <c r="D413" t="s">
        <v>103</v>
      </c>
      <c r="E413" t="s">
        <v>886</v>
      </c>
      <c r="F413" t="s">
        <v>263</v>
      </c>
      <c r="G413" s="475" t="s">
        <v>1945</v>
      </c>
      <c r="H413" s="475" t="s">
        <v>1946</v>
      </c>
      <c r="I413" t="s">
        <v>835</v>
      </c>
      <c r="J413" t="s">
        <v>1947</v>
      </c>
      <c r="L413">
        <v>276098104039469</v>
      </c>
    </row>
    <row r="414" spans="2:12" ht="12.75">
      <c r="B414">
        <v>2313</v>
      </c>
      <c r="C414" t="s">
        <v>1948</v>
      </c>
      <c r="D414" t="s">
        <v>131</v>
      </c>
      <c r="E414" t="s">
        <v>914</v>
      </c>
      <c r="F414" t="s">
        <v>254</v>
      </c>
      <c r="G414" s="475" t="s">
        <v>1949</v>
      </c>
      <c r="H414" s="475" t="s">
        <v>1656</v>
      </c>
      <c r="I414" t="s">
        <v>836</v>
      </c>
      <c r="J414" t="s">
        <v>556</v>
      </c>
      <c r="L414">
        <v>40096100116625</v>
      </c>
    </row>
    <row r="415" spans="2:12" ht="12.75">
      <c r="B415">
        <v>2314</v>
      </c>
      <c r="C415" t="s">
        <v>1668</v>
      </c>
      <c r="D415" t="s">
        <v>103</v>
      </c>
      <c r="E415" t="s">
        <v>886</v>
      </c>
      <c r="F415" t="s">
        <v>553</v>
      </c>
      <c r="G415" s="475" t="s">
        <v>1950</v>
      </c>
      <c r="H415" s="475" t="s">
        <v>1070</v>
      </c>
      <c r="I415" t="s">
        <v>835</v>
      </c>
      <c r="J415" t="s">
        <v>1951</v>
      </c>
      <c r="L415">
        <v>40100000018161</v>
      </c>
    </row>
    <row r="416" spans="2:12" ht="12.75">
      <c r="B416">
        <v>2315</v>
      </c>
      <c r="C416" t="s">
        <v>1952</v>
      </c>
      <c r="D416" t="s">
        <v>123</v>
      </c>
      <c r="E416" t="s">
        <v>931</v>
      </c>
      <c r="F416" t="s">
        <v>148</v>
      </c>
      <c r="G416" s="475" t="s">
        <v>1953</v>
      </c>
      <c r="H416" s="475" t="s">
        <v>1115</v>
      </c>
      <c r="I416">
        <v>1513</v>
      </c>
      <c r="J416" t="s">
        <v>559</v>
      </c>
      <c r="L416">
        <v>93400224043</v>
      </c>
    </row>
    <row r="417" spans="2:12" ht="12.75">
      <c r="B417">
        <v>2317</v>
      </c>
      <c r="C417" t="s">
        <v>1954</v>
      </c>
      <c r="D417" t="s">
        <v>123</v>
      </c>
      <c r="E417" t="s">
        <v>886</v>
      </c>
      <c r="F417" t="s">
        <v>269</v>
      </c>
      <c r="G417" s="475" t="s">
        <v>1955</v>
      </c>
      <c r="H417" s="475" t="s">
        <v>1722</v>
      </c>
      <c r="I417" t="s">
        <v>835</v>
      </c>
      <c r="J417" t="s">
        <v>1956</v>
      </c>
      <c r="L417">
        <v>941000002373689</v>
      </c>
    </row>
    <row r="418" spans="2:12" ht="12.75">
      <c r="B418">
        <v>2318</v>
      </c>
      <c r="C418" t="s">
        <v>1957</v>
      </c>
      <c r="D418" t="s">
        <v>229</v>
      </c>
      <c r="E418" t="s">
        <v>931</v>
      </c>
      <c r="F418" t="s">
        <v>381</v>
      </c>
      <c r="G418" s="475" t="s">
        <v>1958</v>
      </c>
      <c r="H418" s="475" t="s">
        <v>1959</v>
      </c>
      <c r="I418">
        <v>1514</v>
      </c>
      <c r="J418" t="s">
        <v>382</v>
      </c>
      <c r="L418">
        <v>276096901187773</v>
      </c>
    </row>
    <row r="419" spans="2:12" ht="12.75">
      <c r="B419">
        <v>2319</v>
      </c>
      <c r="C419" t="s">
        <v>1960</v>
      </c>
      <c r="D419" t="s">
        <v>122</v>
      </c>
      <c r="E419" t="s">
        <v>894</v>
      </c>
      <c r="F419" t="s">
        <v>726</v>
      </c>
      <c r="G419" s="475" t="s">
        <v>1961</v>
      </c>
      <c r="H419" s="475" t="s">
        <v>1962</v>
      </c>
      <c r="I419">
        <v>1512</v>
      </c>
      <c r="J419" t="s">
        <v>1963</v>
      </c>
      <c r="L419">
        <v>98104475660</v>
      </c>
    </row>
    <row r="420" spans="2:12" ht="12.75">
      <c r="B420">
        <v>2320</v>
      </c>
      <c r="C420" t="s">
        <v>158</v>
      </c>
      <c r="D420" t="s">
        <v>557</v>
      </c>
      <c r="E420" t="s">
        <v>928</v>
      </c>
      <c r="F420" t="s">
        <v>184</v>
      </c>
      <c r="G420" s="475" t="s">
        <v>1964</v>
      </c>
      <c r="H420" s="475" t="s">
        <v>1959</v>
      </c>
      <c r="I420" t="s">
        <v>836</v>
      </c>
      <c r="J420" t="s">
        <v>463</v>
      </c>
      <c r="L420">
        <v>276097202215468</v>
      </c>
    </row>
    <row r="421" spans="2:12" ht="12.75">
      <c r="B421">
        <v>2321</v>
      </c>
      <c r="C421" t="s">
        <v>491</v>
      </c>
      <c r="D421" t="s">
        <v>126</v>
      </c>
      <c r="E421" t="s">
        <v>886</v>
      </c>
      <c r="F421" t="s">
        <v>187</v>
      </c>
      <c r="G421" s="475" t="s">
        <v>1965</v>
      </c>
      <c r="H421" s="475" t="s">
        <v>1394</v>
      </c>
      <c r="I421" t="s">
        <v>835</v>
      </c>
      <c r="J421" t="s">
        <v>778</v>
      </c>
      <c r="L421">
        <v>276098102533638</v>
      </c>
    </row>
    <row r="422" spans="2:12" ht="12.75">
      <c r="B422">
        <v>2322</v>
      </c>
      <c r="C422" t="s">
        <v>1966</v>
      </c>
      <c r="D422" t="s">
        <v>123</v>
      </c>
      <c r="E422" t="s">
        <v>886</v>
      </c>
      <c r="F422" t="s">
        <v>1967</v>
      </c>
      <c r="G422" s="475" t="s">
        <v>1968</v>
      </c>
      <c r="H422" s="475" t="s">
        <v>1969</v>
      </c>
      <c r="I422" t="s">
        <v>835</v>
      </c>
      <c r="J422" t="s">
        <v>637</v>
      </c>
      <c r="L422">
        <v>900032000484765</v>
      </c>
    </row>
    <row r="423" spans="2:12" ht="12.75">
      <c r="B423">
        <v>2323</v>
      </c>
      <c r="C423" t="s">
        <v>1970</v>
      </c>
      <c r="D423" t="s">
        <v>126</v>
      </c>
      <c r="E423" t="s">
        <v>886</v>
      </c>
      <c r="F423" t="s">
        <v>1971</v>
      </c>
      <c r="G423" s="475" t="s">
        <v>1972</v>
      </c>
      <c r="H423" s="475" t="s">
        <v>1973</v>
      </c>
      <c r="I423" t="s">
        <v>835</v>
      </c>
      <c r="J423" t="s">
        <v>1974</v>
      </c>
      <c r="L423">
        <v>276098104559107</v>
      </c>
    </row>
    <row r="424" spans="2:12" ht="12.75">
      <c r="B424">
        <v>2324</v>
      </c>
      <c r="C424" t="s">
        <v>625</v>
      </c>
      <c r="D424" t="s">
        <v>185</v>
      </c>
      <c r="E424" t="s">
        <v>886</v>
      </c>
      <c r="F424" t="s">
        <v>562</v>
      </c>
      <c r="G424" s="475" t="s">
        <v>1975</v>
      </c>
      <c r="H424" s="475" t="s">
        <v>1976</v>
      </c>
      <c r="I424" t="s">
        <v>835</v>
      </c>
      <c r="J424" t="s">
        <v>464</v>
      </c>
      <c r="L424">
        <v>276094100152964</v>
      </c>
    </row>
    <row r="425" spans="2:12" ht="12.75">
      <c r="B425">
        <v>2326</v>
      </c>
      <c r="C425" t="s">
        <v>1977</v>
      </c>
      <c r="D425" t="s">
        <v>126</v>
      </c>
      <c r="E425" t="s">
        <v>886</v>
      </c>
      <c r="F425" t="s">
        <v>1313</v>
      </c>
      <c r="G425" s="475" t="s">
        <v>1978</v>
      </c>
      <c r="H425" s="475" t="s">
        <v>1979</v>
      </c>
      <c r="I425" t="s">
        <v>835</v>
      </c>
      <c r="J425" t="s">
        <v>378</v>
      </c>
      <c r="L425">
        <v>276098104404670</v>
      </c>
    </row>
    <row r="426" spans="2:10" ht="12.75">
      <c r="B426">
        <v>2327</v>
      </c>
      <c r="C426" t="s">
        <v>1980</v>
      </c>
      <c r="D426" t="s">
        <v>788</v>
      </c>
      <c r="E426" t="s">
        <v>928</v>
      </c>
      <c r="F426" t="s">
        <v>269</v>
      </c>
      <c r="G426" s="475" t="s">
        <v>1981</v>
      </c>
      <c r="H426" s="475" t="s">
        <v>1982</v>
      </c>
      <c r="I426">
        <v>1515</v>
      </c>
      <c r="J426" t="s">
        <v>1244</v>
      </c>
    </row>
    <row r="427" spans="2:12" ht="12.75">
      <c r="B427">
        <v>2328</v>
      </c>
      <c r="C427" t="s">
        <v>1983</v>
      </c>
      <c r="D427" t="s">
        <v>175</v>
      </c>
      <c r="E427" t="s">
        <v>886</v>
      </c>
      <c r="F427" t="s">
        <v>284</v>
      </c>
      <c r="G427" s="475" t="s">
        <v>1783</v>
      </c>
      <c r="H427" s="475" t="s">
        <v>1166</v>
      </c>
      <c r="I427" t="s">
        <v>835</v>
      </c>
      <c r="J427" t="s">
        <v>608</v>
      </c>
      <c r="L427">
        <v>276098104651958</v>
      </c>
    </row>
    <row r="428" spans="2:12" ht="12.75">
      <c r="B428">
        <v>2330</v>
      </c>
      <c r="C428" t="s">
        <v>1984</v>
      </c>
      <c r="D428" t="s">
        <v>1985</v>
      </c>
      <c r="E428" t="s">
        <v>903</v>
      </c>
      <c r="F428" t="s">
        <v>192</v>
      </c>
      <c r="G428" s="475" t="s">
        <v>1986</v>
      </c>
      <c r="H428" s="475" t="s">
        <v>1286</v>
      </c>
      <c r="I428">
        <v>7302</v>
      </c>
      <c r="J428" t="s">
        <v>1287</v>
      </c>
      <c r="L428">
        <v>276093400474777</v>
      </c>
    </row>
    <row r="429" spans="2:12" ht="12.75">
      <c r="B429">
        <v>2331</v>
      </c>
      <c r="C429" t="s">
        <v>1987</v>
      </c>
      <c r="D429" t="s">
        <v>530</v>
      </c>
      <c r="E429" t="s">
        <v>903</v>
      </c>
      <c r="F429" t="s">
        <v>1315</v>
      </c>
      <c r="G429" s="475" t="s">
        <v>1988</v>
      </c>
      <c r="H429" s="475" t="s">
        <v>1989</v>
      </c>
      <c r="I429">
        <v>5803</v>
      </c>
      <c r="J429" t="s">
        <v>1990</v>
      </c>
      <c r="L429">
        <v>276098104314162</v>
      </c>
    </row>
    <row r="430" spans="2:12" ht="12.75">
      <c r="B430">
        <v>2334</v>
      </c>
      <c r="C430" t="s">
        <v>1991</v>
      </c>
      <c r="D430" t="s">
        <v>103</v>
      </c>
      <c r="E430" t="s">
        <v>886</v>
      </c>
      <c r="F430" t="s">
        <v>724</v>
      </c>
      <c r="G430" s="475" t="s">
        <v>1992</v>
      </c>
      <c r="H430" s="475" t="s">
        <v>1993</v>
      </c>
      <c r="I430" t="s">
        <v>835</v>
      </c>
      <c r="J430" t="s">
        <v>1994</v>
      </c>
      <c r="L430">
        <v>276096901204049</v>
      </c>
    </row>
    <row r="431" spans="2:12" ht="12.75">
      <c r="B431">
        <v>2337</v>
      </c>
      <c r="C431" t="s">
        <v>1995</v>
      </c>
      <c r="D431" t="s">
        <v>1707</v>
      </c>
      <c r="E431" t="s">
        <v>914</v>
      </c>
      <c r="F431" t="s">
        <v>263</v>
      </c>
      <c r="G431" s="475" t="s">
        <v>1996</v>
      </c>
      <c r="H431" s="475" t="s">
        <v>1263</v>
      </c>
      <c r="I431">
        <v>8704</v>
      </c>
      <c r="J431" t="s">
        <v>421</v>
      </c>
      <c r="L431">
        <v>276097202117083</v>
      </c>
    </row>
    <row r="432" spans="2:12" ht="12.75">
      <c r="B432">
        <v>2338</v>
      </c>
      <c r="C432" t="s">
        <v>206</v>
      </c>
      <c r="D432" t="s">
        <v>1806</v>
      </c>
      <c r="E432" t="s">
        <v>886</v>
      </c>
      <c r="F432" t="s">
        <v>251</v>
      </c>
      <c r="G432" s="475" t="s">
        <v>1997</v>
      </c>
      <c r="H432" s="475" t="s">
        <v>1998</v>
      </c>
      <c r="I432" t="s">
        <v>835</v>
      </c>
      <c r="J432" t="s">
        <v>1999</v>
      </c>
      <c r="L432">
        <v>276093400073541</v>
      </c>
    </row>
    <row r="433" spans="2:12" ht="12.75">
      <c r="B433">
        <v>2339</v>
      </c>
      <c r="C433" t="s">
        <v>149</v>
      </c>
      <c r="D433" t="s">
        <v>126</v>
      </c>
      <c r="E433" t="s">
        <v>886</v>
      </c>
      <c r="F433" t="s">
        <v>807</v>
      </c>
      <c r="G433" s="475" t="s">
        <v>2000</v>
      </c>
      <c r="H433" s="475" t="s">
        <v>1252</v>
      </c>
      <c r="I433" t="s">
        <v>835</v>
      </c>
      <c r="J433" t="s">
        <v>778</v>
      </c>
      <c r="L433">
        <v>276096909138476</v>
      </c>
    </row>
    <row r="434" spans="2:12" ht="12.75">
      <c r="B434">
        <v>2340</v>
      </c>
      <c r="C434" t="s">
        <v>2001</v>
      </c>
      <c r="D434" t="s">
        <v>157</v>
      </c>
      <c r="E434" t="s">
        <v>931</v>
      </c>
      <c r="F434" t="s">
        <v>272</v>
      </c>
      <c r="G434" s="475" t="s">
        <v>2002</v>
      </c>
      <c r="H434" s="475" t="s">
        <v>2003</v>
      </c>
      <c r="I434">
        <v>2808</v>
      </c>
      <c r="J434" t="s">
        <v>418</v>
      </c>
      <c r="L434">
        <v>276098510328410</v>
      </c>
    </row>
    <row r="435" spans="2:12" ht="12.75">
      <c r="B435">
        <v>2341</v>
      </c>
      <c r="C435" t="s">
        <v>2004</v>
      </c>
      <c r="D435" t="s">
        <v>123</v>
      </c>
      <c r="E435" t="s">
        <v>886</v>
      </c>
      <c r="F435" t="s">
        <v>486</v>
      </c>
      <c r="G435" s="475" t="s">
        <v>2005</v>
      </c>
      <c r="H435" s="475" t="s">
        <v>2006</v>
      </c>
      <c r="I435" t="s">
        <v>835</v>
      </c>
      <c r="J435" t="s">
        <v>2007</v>
      </c>
      <c r="L435">
        <v>945000000927683</v>
      </c>
    </row>
    <row r="436" spans="2:9" ht="12.75">
      <c r="B436">
        <v>2342</v>
      </c>
      <c r="C436" t="s">
        <v>2008</v>
      </c>
      <c r="D436" t="s">
        <v>334</v>
      </c>
      <c r="E436" t="s">
        <v>1876</v>
      </c>
      <c r="F436" t="s">
        <v>186</v>
      </c>
      <c r="G436" s="475" t="s">
        <v>2009</v>
      </c>
      <c r="H436" s="475" t="s">
        <v>2010</v>
      </c>
      <c r="I436" t="s">
        <v>836</v>
      </c>
    </row>
    <row r="437" spans="2:12" ht="12.75">
      <c r="B437">
        <v>2346</v>
      </c>
      <c r="C437" t="s">
        <v>295</v>
      </c>
      <c r="D437" t="s">
        <v>126</v>
      </c>
      <c r="E437" t="s">
        <v>914</v>
      </c>
      <c r="F437" t="s">
        <v>647</v>
      </c>
      <c r="G437" s="475" t="s">
        <v>2011</v>
      </c>
      <c r="H437" s="475" t="s">
        <v>2012</v>
      </c>
      <c r="I437">
        <v>8217</v>
      </c>
      <c r="J437" t="s">
        <v>1497</v>
      </c>
      <c r="L437">
        <v>276096909249176</v>
      </c>
    </row>
    <row r="438" spans="2:12" ht="12.75">
      <c r="B438">
        <v>2347</v>
      </c>
      <c r="C438" t="s">
        <v>112</v>
      </c>
      <c r="D438" t="s">
        <v>422</v>
      </c>
      <c r="E438" t="s">
        <v>903</v>
      </c>
      <c r="F438" t="s">
        <v>2013</v>
      </c>
      <c r="G438" s="475" t="s">
        <v>2014</v>
      </c>
      <c r="H438" s="475" t="s">
        <v>2015</v>
      </c>
      <c r="I438" t="s">
        <v>836</v>
      </c>
      <c r="J438" t="s">
        <v>2016</v>
      </c>
      <c r="L438">
        <v>276097202213281</v>
      </c>
    </row>
    <row r="439" spans="2:12" ht="12.75">
      <c r="B439">
        <v>2348</v>
      </c>
      <c r="C439" t="s">
        <v>242</v>
      </c>
      <c r="D439" t="s">
        <v>707</v>
      </c>
      <c r="E439" t="s">
        <v>903</v>
      </c>
      <c r="F439" t="s">
        <v>2017</v>
      </c>
      <c r="G439" s="475" t="s">
        <v>2018</v>
      </c>
      <c r="H439" s="475" t="s">
        <v>2019</v>
      </c>
      <c r="I439">
        <v>8215</v>
      </c>
      <c r="J439" t="s">
        <v>2020</v>
      </c>
      <c r="L439">
        <v>276098104963113</v>
      </c>
    </row>
    <row r="440" spans="2:12" ht="12.75">
      <c r="B440">
        <v>2349</v>
      </c>
      <c r="C440" t="s">
        <v>2021</v>
      </c>
      <c r="D440" t="s">
        <v>131</v>
      </c>
      <c r="E440" t="s">
        <v>894</v>
      </c>
      <c r="F440" t="s">
        <v>228</v>
      </c>
      <c r="G440" s="475" t="s">
        <v>2022</v>
      </c>
      <c r="H440" s="475" t="s">
        <v>1115</v>
      </c>
      <c r="I440">
        <v>4514</v>
      </c>
      <c r="J440" t="s">
        <v>2023</v>
      </c>
      <c r="L440">
        <v>939000010694139</v>
      </c>
    </row>
    <row r="441" spans="2:12" ht="12.75">
      <c r="B441">
        <v>2356</v>
      </c>
      <c r="C441" t="s">
        <v>2024</v>
      </c>
      <c r="D441" t="s">
        <v>103</v>
      </c>
      <c r="E441" t="s">
        <v>886</v>
      </c>
      <c r="F441" t="s">
        <v>599</v>
      </c>
      <c r="G441" s="475" t="s">
        <v>2025</v>
      </c>
      <c r="H441" s="475" t="s">
        <v>1168</v>
      </c>
      <c r="I441" t="s">
        <v>835</v>
      </c>
      <c r="J441" t="s">
        <v>496</v>
      </c>
      <c r="L441">
        <v>276095610031837</v>
      </c>
    </row>
    <row r="442" spans="2:12" ht="12.75">
      <c r="B442">
        <v>2360</v>
      </c>
      <c r="C442" t="s">
        <v>114</v>
      </c>
      <c r="D442" t="s">
        <v>123</v>
      </c>
      <c r="E442" t="s">
        <v>886</v>
      </c>
      <c r="F442" t="s">
        <v>606</v>
      </c>
      <c r="G442" s="475" t="s">
        <v>2026</v>
      </c>
      <c r="H442" s="475" t="s">
        <v>2027</v>
      </c>
      <c r="I442" t="s">
        <v>835</v>
      </c>
      <c r="J442" t="s">
        <v>2028</v>
      </c>
      <c r="L442">
        <v>40098100356797</v>
      </c>
    </row>
    <row r="443" spans="2:12" ht="12.75">
      <c r="B443">
        <v>2361</v>
      </c>
      <c r="C443" t="s">
        <v>371</v>
      </c>
      <c r="D443" t="s">
        <v>123</v>
      </c>
      <c r="E443" t="s">
        <v>899</v>
      </c>
      <c r="F443" t="s">
        <v>547</v>
      </c>
      <c r="G443" s="475" t="s">
        <v>2029</v>
      </c>
      <c r="H443" s="475" t="s">
        <v>2030</v>
      </c>
      <c r="I443">
        <v>7701</v>
      </c>
      <c r="J443" t="s">
        <v>2031</v>
      </c>
      <c r="L443">
        <v>276097202178692</v>
      </c>
    </row>
    <row r="444" spans="2:12" ht="12.75">
      <c r="B444">
        <v>2362</v>
      </c>
      <c r="C444" t="s">
        <v>2032</v>
      </c>
      <c r="D444" t="s">
        <v>360</v>
      </c>
      <c r="E444" t="s">
        <v>886</v>
      </c>
      <c r="F444" t="s">
        <v>2033</v>
      </c>
      <c r="G444" s="475" t="s">
        <v>2034</v>
      </c>
      <c r="H444" s="475" t="s">
        <v>2035</v>
      </c>
      <c r="I444" t="s">
        <v>835</v>
      </c>
      <c r="J444" t="s">
        <v>2036</v>
      </c>
      <c r="L444">
        <v>276093400501846</v>
      </c>
    </row>
    <row r="445" spans="2:12" ht="12.75">
      <c r="B445">
        <v>2363</v>
      </c>
      <c r="C445" t="s">
        <v>2037</v>
      </c>
      <c r="D445" t="s">
        <v>191</v>
      </c>
      <c r="E445" t="s">
        <v>928</v>
      </c>
      <c r="F445" t="s">
        <v>242</v>
      </c>
      <c r="G445" s="475" t="s">
        <v>2038</v>
      </c>
      <c r="H445" s="475" t="s">
        <v>1203</v>
      </c>
      <c r="I445">
        <v>7704</v>
      </c>
      <c r="J445" t="s">
        <v>2039</v>
      </c>
      <c r="L445">
        <v>276096100339625</v>
      </c>
    </row>
    <row r="446" spans="2:12" ht="12.75">
      <c r="B446">
        <v>2365</v>
      </c>
      <c r="C446" t="s">
        <v>2040</v>
      </c>
      <c r="D446" t="s">
        <v>126</v>
      </c>
      <c r="E446" t="s">
        <v>886</v>
      </c>
      <c r="F446" t="s">
        <v>228</v>
      </c>
      <c r="G446" s="475" t="s">
        <v>2041</v>
      </c>
      <c r="H446" s="475" t="s">
        <v>1200</v>
      </c>
      <c r="I446" t="s">
        <v>835</v>
      </c>
      <c r="J446" t="s">
        <v>2042</v>
      </c>
      <c r="L446">
        <v>276097202125572</v>
      </c>
    </row>
    <row r="447" spans="2:12" ht="12.75">
      <c r="B447">
        <v>2367</v>
      </c>
      <c r="C447" t="s">
        <v>650</v>
      </c>
      <c r="D447" t="s">
        <v>126</v>
      </c>
      <c r="E447" t="s">
        <v>886</v>
      </c>
      <c r="F447" t="s">
        <v>343</v>
      </c>
      <c r="G447" s="475" t="s">
        <v>2043</v>
      </c>
      <c r="H447" s="475" t="s">
        <v>944</v>
      </c>
      <c r="I447" t="s">
        <v>835</v>
      </c>
      <c r="J447" t="s">
        <v>2044</v>
      </c>
      <c r="L447">
        <v>934000011071957</v>
      </c>
    </row>
    <row r="448" spans="2:12" ht="12.75">
      <c r="B448">
        <v>2369</v>
      </c>
      <c r="C448" t="s">
        <v>2045</v>
      </c>
      <c r="D448" t="s">
        <v>465</v>
      </c>
      <c r="E448" t="s">
        <v>886</v>
      </c>
      <c r="F448" t="s">
        <v>767</v>
      </c>
      <c r="G448" s="475" t="s">
        <v>2046</v>
      </c>
      <c r="H448" s="475" t="s">
        <v>2047</v>
      </c>
      <c r="I448" t="s">
        <v>835</v>
      </c>
      <c r="J448" t="s">
        <v>432</v>
      </c>
      <c r="L448">
        <v>900118000134417</v>
      </c>
    </row>
    <row r="449" spans="2:10" ht="12.75">
      <c r="B449">
        <v>2370</v>
      </c>
      <c r="C449" t="s">
        <v>209</v>
      </c>
      <c r="D449" t="s">
        <v>214</v>
      </c>
      <c r="E449" t="s">
        <v>886</v>
      </c>
      <c r="F449" t="s">
        <v>767</v>
      </c>
      <c r="G449" s="475" t="s">
        <v>2048</v>
      </c>
      <c r="H449" s="475" t="s">
        <v>1381</v>
      </c>
      <c r="I449" t="s">
        <v>835</v>
      </c>
      <c r="J449" t="s">
        <v>432</v>
      </c>
    </row>
    <row r="450" spans="2:12" ht="12.75">
      <c r="B450">
        <v>2371</v>
      </c>
      <c r="C450" t="s">
        <v>1700</v>
      </c>
      <c r="D450" t="s">
        <v>347</v>
      </c>
      <c r="E450" t="s">
        <v>914</v>
      </c>
      <c r="F450" t="s">
        <v>651</v>
      </c>
      <c r="G450" s="475" t="s">
        <v>2049</v>
      </c>
      <c r="H450" s="475" t="s">
        <v>1552</v>
      </c>
      <c r="I450" t="s">
        <v>836</v>
      </c>
      <c r="J450" t="s">
        <v>1427</v>
      </c>
      <c r="L450">
        <v>276094180101760</v>
      </c>
    </row>
    <row r="451" spans="2:12" ht="12.75">
      <c r="B451">
        <v>2374</v>
      </c>
      <c r="C451" t="s">
        <v>506</v>
      </c>
      <c r="D451" t="s">
        <v>103</v>
      </c>
      <c r="E451" t="s">
        <v>886</v>
      </c>
      <c r="F451" t="s">
        <v>182</v>
      </c>
      <c r="G451" s="475" t="s">
        <v>2050</v>
      </c>
      <c r="H451" s="475" t="s">
        <v>1170</v>
      </c>
      <c r="I451" t="s">
        <v>835</v>
      </c>
      <c r="J451" t="s">
        <v>2051</v>
      </c>
      <c r="L451">
        <v>945000001202086</v>
      </c>
    </row>
    <row r="452" spans="2:12" ht="12.75">
      <c r="B452">
        <v>2376</v>
      </c>
      <c r="C452" t="s">
        <v>282</v>
      </c>
      <c r="D452" t="s">
        <v>126</v>
      </c>
      <c r="E452" t="s">
        <v>886</v>
      </c>
      <c r="F452" t="s">
        <v>569</v>
      </c>
      <c r="G452" s="475" t="s">
        <v>2052</v>
      </c>
      <c r="H452" s="475" t="s">
        <v>1973</v>
      </c>
      <c r="I452" t="s">
        <v>835</v>
      </c>
      <c r="J452" t="s">
        <v>565</v>
      </c>
      <c r="L452">
        <v>276096100282254</v>
      </c>
    </row>
    <row r="453" spans="2:12" ht="12.75">
      <c r="B453">
        <v>2377</v>
      </c>
      <c r="C453" t="s">
        <v>2053</v>
      </c>
      <c r="D453" t="s">
        <v>1266</v>
      </c>
      <c r="E453" t="s">
        <v>886</v>
      </c>
      <c r="F453" t="s">
        <v>383</v>
      </c>
      <c r="G453" s="475" t="s">
        <v>2054</v>
      </c>
      <c r="H453" s="475" t="s">
        <v>2055</v>
      </c>
      <c r="I453" t="s">
        <v>835</v>
      </c>
      <c r="J453" t="s">
        <v>2056</v>
      </c>
      <c r="L453">
        <v>276093400472639</v>
      </c>
    </row>
    <row r="454" spans="2:12" ht="12.75">
      <c r="B454">
        <v>2378</v>
      </c>
      <c r="C454" t="s">
        <v>2057</v>
      </c>
      <c r="D454" t="s">
        <v>126</v>
      </c>
      <c r="E454" t="s">
        <v>886</v>
      </c>
      <c r="F454" t="s">
        <v>547</v>
      </c>
      <c r="G454" s="475" t="s">
        <v>2058</v>
      </c>
      <c r="H454" s="475" t="s">
        <v>1170</v>
      </c>
      <c r="I454" t="s">
        <v>835</v>
      </c>
      <c r="J454" t="s">
        <v>2059</v>
      </c>
      <c r="L454">
        <v>276094500129530</v>
      </c>
    </row>
    <row r="455" spans="2:12" ht="12.75">
      <c r="B455">
        <v>2379</v>
      </c>
      <c r="C455" t="s">
        <v>574</v>
      </c>
      <c r="D455" t="s">
        <v>103</v>
      </c>
      <c r="E455" t="s">
        <v>886</v>
      </c>
      <c r="F455" t="s">
        <v>2060</v>
      </c>
      <c r="G455" s="475" t="s">
        <v>2061</v>
      </c>
      <c r="H455" s="475" t="s">
        <v>1641</v>
      </c>
      <c r="I455" t="s">
        <v>835</v>
      </c>
      <c r="J455" t="s">
        <v>2062</v>
      </c>
      <c r="L455">
        <v>276096901043739</v>
      </c>
    </row>
    <row r="456" spans="2:12" ht="12.75">
      <c r="B456">
        <v>2380</v>
      </c>
      <c r="C456" t="s">
        <v>255</v>
      </c>
      <c r="D456" t="s">
        <v>1847</v>
      </c>
      <c r="E456" t="s">
        <v>903</v>
      </c>
      <c r="F456" t="s">
        <v>569</v>
      </c>
      <c r="G456" s="475" t="s">
        <v>2063</v>
      </c>
      <c r="H456" s="475" t="s">
        <v>2064</v>
      </c>
      <c r="I456">
        <v>8905</v>
      </c>
      <c r="J456" t="s">
        <v>2065</v>
      </c>
      <c r="L456">
        <v>276098104924531</v>
      </c>
    </row>
    <row r="457" spans="2:12" ht="12.75">
      <c r="B457">
        <v>2381</v>
      </c>
      <c r="C457" t="s">
        <v>377</v>
      </c>
      <c r="D457" t="s">
        <v>746</v>
      </c>
      <c r="E457" t="s">
        <v>886</v>
      </c>
      <c r="F457" t="s">
        <v>2066</v>
      </c>
      <c r="G457" s="475" t="s">
        <v>2067</v>
      </c>
      <c r="H457" s="475" t="s">
        <v>1724</v>
      </c>
      <c r="I457" t="s">
        <v>835</v>
      </c>
      <c r="J457" t="s">
        <v>1654</v>
      </c>
      <c r="L457">
        <v>276096907056002</v>
      </c>
    </row>
    <row r="458" spans="2:12" ht="12.75">
      <c r="B458">
        <v>2382</v>
      </c>
      <c r="C458" t="s">
        <v>1756</v>
      </c>
      <c r="D458" t="s">
        <v>191</v>
      </c>
      <c r="E458" t="s">
        <v>931</v>
      </c>
      <c r="F458" t="s">
        <v>252</v>
      </c>
      <c r="G458" s="475" t="s">
        <v>2068</v>
      </c>
      <c r="H458" s="475" t="s">
        <v>1742</v>
      </c>
      <c r="I458">
        <v>8906</v>
      </c>
      <c r="J458" t="s">
        <v>734</v>
      </c>
      <c r="L458">
        <v>276096100284374</v>
      </c>
    </row>
    <row r="459" spans="2:12" ht="12.75">
      <c r="B459">
        <v>2383</v>
      </c>
      <c r="C459" t="s">
        <v>2069</v>
      </c>
      <c r="D459" t="s">
        <v>185</v>
      </c>
      <c r="E459" t="s">
        <v>886</v>
      </c>
      <c r="F459" t="s">
        <v>281</v>
      </c>
      <c r="G459" s="475" t="s">
        <v>2070</v>
      </c>
      <c r="H459" s="475" t="s">
        <v>973</v>
      </c>
      <c r="I459" t="s">
        <v>835</v>
      </c>
      <c r="J459" t="s">
        <v>2071</v>
      </c>
      <c r="L459">
        <v>276095600052829</v>
      </c>
    </row>
    <row r="460" spans="2:12" ht="12.75">
      <c r="B460">
        <v>2385</v>
      </c>
      <c r="C460" t="s">
        <v>2072</v>
      </c>
      <c r="D460" t="s">
        <v>126</v>
      </c>
      <c r="E460" t="s">
        <v>886</v>
      </c>
      <c r="F460" t="s">
        <v>767</v>
      </c>
      <c r="G460" s="475" t="s">
        <v>2073</v>
      </c>
      <c r="H460" s="475" t="s">
        <v>2074</v>
      </c>
      <c r="I460" t="s">
        <v>835</v>
      </c>
      <c r="J460" t="s">
        <v>2075</v>
      </c>
      <c r="L460">
        <v>276094180093785</v>
      </c>
    </row>
    <row r="461" spans="2:12" ht="12.75">
      <c r="B461">
        <v>2386</v>
      </c>
      <c r="C461" t="s">
        <v>2076</v>
      </c>
      <c r="D461" t="s">
        <v>229</v>
      </c>
      <c r="E461" t="s">
        <v>903</v>
      </c>
      <c r="F461" t="s">
        <v>228</v>
      </c>
      <c r="G461" s="475" t="s">
        <v>1964</v>
      </c>
      <c r="H461" s="475" t="s">
        <v>2077</v>
      </c>
      <c r="I461">
        <v>8009</v>
      </c>
      <c r="J461" t="s">
        <v>1376</v>
      </c>
      <c r="L461">
        <v>934000011042934</v>
      </c>
    </row>
    <row r="462" spans="2:12" ht="12.75">
      <c r="B462">
        <v>2387</v>
      </c>
      <c r="C462" t="s">
        <v>323</v>
      </c>
      <c r="D462" t="s">
        <v>2078</v>
      </c>
      <c r="E462" t="s">
        <v>914</v>
      </c>
      <c r="F462" t="s">
        <v>1835</v>
      </c>
      <c r="G462" s="475" t="s">
        <v>2079</v>
      </c>
      <c r="H462" s="475" t="s">
        <v>2080</v>
      </c>
      <c r="I462">
        <v>8010</v>
      </c>
      <c r="J462" t="s">
        <v>1111</v>
      </c>
      <c r="L462">
        <v>528140000550894</v>
      </c>
    </row>
    <row r="463" spans="2:12" ht="12.75">
      <c r="B463">
        <v>2388</v>
      </c>
      <c r="C463" t="s">
        <v>802</v>
      </c>
      <c r="D463" t="s">
        <v>131</v>
      </c>
      <c r="E463" t="s">
        <v>923</v>
      </c>
      <c r="F463" t="s">
        <v>541</v>
      </c>
      <c r="G463" s="475" t="s">
        <v>2081</v>
      </c>
      <c r="H463" s="475" t="s">
        <v>1582</v>
      </c>
      <c r="I463" t="s">
        <v>836</v>
      </c>
      <c r="J463" t="s">
        <v>2082</v>
      </c>
      <c r="L463">
        <v>348094100017598</v>
      </c>
    </row>
    <row r="464" spans="2:12" ht="12.75">
      <c r="B464">
        <v>2389</v>
      </c>
      <c r="C464" t="s">
        <v>2083</v>
      </c>
      <c r="D464" t="s">
        <v>195</v>
      </c>
      <c r="E464" t="s">
        <v>886</v>
      </c>
      <c r="F464" t="s">
        <v>215</v>
      </c>
      <c r="G464" s="475" t="s">
        <v>2084</v>
      </c>
      <c r="H464" s="475" t="s">
        <v>925</v>
      </c>
      <c r="I464" t="s">
        <v>835</v>
      </c>
      <c r="J464" t="s">
        <v>197</v>
      </c>
      <c r="L464">
        <v>276096901191425</v>
      </c>
    </row>
    <row r="465" spans="2:12" ht="12.75">
      <c r="B465">
        <v>2390</v>
      </c>
      <c r="C465" t="s">
        <v>2085</v>
      </c>
      <c r="D465" t="s">
        <v>103</v>
      </c>
      <c r="E465" t="s">
        <v>886</v>
      </c>
      <c r="F465" t="s">
        <v>2086</v>
      </c>
      <c r="G465" s="475" t="s">
        <v>2087</v>
      </c>
      <c r="H465" s="475" t="s">
        <v>1767</v>
      </c>
      <c r="I465" t="s">
        <v>835</v>
      </c>
      <c r="L465">
        <v>276098104804886</v>
      </c>
    </row>
    <row r="466" spans="2:12" ht="12.75">
      <c r="B466">
        <v>2391</v>
      </c>
      <c r="C466" t="s">
        <v>2088</v>
      </c>
      <c r="D466" t="s">
        <v>103</v>
      </c>
      <c r="E466" t="s">
        <v>886</v>
      </c>
      <c r="F466" t="s">
        <v>281</v>
      </c>
      <c r="G466" s="475" t="s">
        <v>2087</v>
      </c>
      <c r="H466" s="475" t="s">
        <v>979</v>
      </c>
      <c r="I466" t="s">
        <v>835</v>
      </c>
      <c r="L466">
        <v>276098104803916</v>
      </c>
    </row>
    <row r="467" spans="2:12" ht="12.75">
      <c r="B467">
        <v>2397</v>
      </c>
      <c r="C467" t="s">
        <v>2089</v>
      </c>
      <c r="D467" t="s">
        <v>122</v>
      </c>
      <c r="E467" t="s">
        <v>914</v>
      </c>
      <c r="F467" t="s">
        <v>789</v>
      </c>
      <c r="G467" s="475" t="s">
        <v>2090</v>
      </c>
      <c r="H467" s="475" t="s">
        <v>2091</v>
      </c>
      <c r="I467">
        <v>7402</v>
      </c>
      <c r="J467" t="s">
        <v>776</v>
      </c>
      <c r="L467">
        <v>276098104211643</v>
      </c>
    </row>
    <row r="468" spans="2:12" ht="12.75">
      <c r="B468">
        <v>2398</v>
      </c>
      <c r="C468" t="s">
        <v>2092</v>
      </c>
      <c r="D468" t="s">
        <v>122</v>
      </c>
      <c r="E468" t="s">
        <v>931</v>
      </c>
      <c r="F468" t="s">
        <v>792</v>
      </c>
      <c r="G468" s="475" t="s">
        <v>2084</v>
      </c>
      <c r="H468" s="475" t="s">
        <v>1036</v>
      </c>
      <c r="I468" t="s">
        <v>836</v>
      </c>
      <c r="J468" t="s">
        <v>2093</v>
      </c>
      <c r="L468">
        <v>276098200020439</v>
      </c>
    </row>
    <row r="469" spans="2:12" ht="12.75">
      <c r="B469">
        <v>2404</v>
      </c>
      <c r="C469" t="s">
        <v>105</v>
      </c>
      <c r="D469" t="s">
        <v>131</v>
      </c>
      <c r="E469" t="s">
        <v>931</v>
      </c>
      <c r="F469" t="s">
        <v>228</v>
      </c>
      <c r="G469" s="475" t="s">
        <v>2094</v>
      </c>
      <c r="H469" s="475" t="s">
        <v>1939</v>
      </c>
      <c r="I469">
        <v>9601</v>
      </c>
      <c r="L469">
        <v>276098104092658</v>
      </c>
    </row>
    <row r="470" spans="2:12" ht="12.75">
      <c r="B470">
        <v>2407</v>
      </c>
      <c r="C470" t="s">
        <v>2095</v>
      </c>
      <c r="D470" t="s">
        <v>1266</v>
      </c>
      <c r="E470" t="s">
        <v>886</v>
      </c>
      <c r="F470" t="s">
        <v>724</v>
      </c>
      <c r="G470" s="475" t="s">
        <v>1250</v>
      </c>
      <c r="H470" s="475" t="s">
        <v>1457</v>
      </c>
      <c r="I470" t="s">
        <v>835</v>
      </c>
      <c r="J470" t="s">
        <v>2096</v>
      </c>
      <c r="L470">
        <v>276093400072221</v>
      </c>
    </row>
    <row r="471" spans="2:12" ht="12.75">
      <c r="B471">
        <v>2413</v>
      </c>
      <c r="C471" t="s">
        <v>601</v>
      </c>
      <c r="D471" t="s">
        <v>422</v>
      </c>
      <c r="E471" t="s">
        <v>903</v>
      </c>
      <c r="F471" t="s">
        <v>399</v>
      </c>
      <c r="G471" s="475" t="s">
        <v>2097</v>
      </c>
      <c r="H471" s="475" t="s">
        <v>1095</v>
      </c>
      <c r="I471">
        <v>5520</v>
      </c>
      <c r="J471" t="s">
        <v>2098</v>
      </c>
      <c r="L471">
        <v>276096909256962</v>
      </c>
    </row>
    <row r="472" spans="2:12" ht="12.75">
      <c r="B472">
        <v>2415</v>
      </c>
      <c r="C472" t="s">
        <v>703</v>
      </c>
      <c r="D472" t="s">
        <v>122</v>
      </c>
      <c r="E472" t="s">
        <v>923</v>
      </c>
      <c r="F472" t="s">
        <v>272</v>
      </c>
      <c r="G472" s="475" t="s">
        <v>1741</v>
      </c>
      <c r="H472" s="475" t="s">
        <v>2099</v>
      </c>
      <c r="I472">
        <v>8503</v>
      </c>
      <c r="J472" t="s">
        <v>755</v>
      </c>
      <c r="L472">
        <v>276096100285424</v>
      </c>
    </row>
    <row r="473" spans="2:12" ht="12.75">
      <c r="B473">
        <v>2416</v>
      </c>
      <c r="C473" t="s">
        <v>2100</v>
      </c>
      <c r="D473" t="s">
        <v>429</v>
      </c>
      <c r="E473" t="s">
        <v>886</v>
      </c>
      <c r="F473" t="s">
        <v>502</v>
      </c>
      <c r="G473" s="475" t="s">
        <v>2101</v>
      </c>
      <c r="H473" s="475" t="s">
        <v>2102</v>
      </c>
      <c r="I473" t="s">
        <v>835</v>
      </c>
      <c r="J473" t="s">
        <v>2103</v>
      </c>
      <c r="L473">
        <v>276098104761680</v>
      </c>
    </row>
    <row r="474" spans="2:12" ht="12.75">
      <c r="B474">
        <v>2417</v>
      </c>
      <c r="C474" t="s">
        <v>156</v>
      </c>
      <c r="D474" t="s">
        <v>103</v>
      </c>
      <c r="E474" t="s">
        <v>886</v>
      </c>
      <c r="F474" t="s">
        <v>184</v>
      </c>
      <c r="G474" s="475" t="s">
        <v>2104</v>
      </c>
      <c r="H474" s="475" t="s">
        <v>2010</v>
      </c>
      <c r="I474" t="s">
        <v>835</v>
      </c>
      <c r="J474" t="s">
        <v>2105</v>
      </c>
      <c r="L474">
        <v>276098104306408</v>
      </c>
    </row>
    <row r="475" spans="2:12" ht="12.75">
      <c r="B475">
        <v>2418</v>
      </c>
      <c r="C475" t="s">
        <v>120</v>
      </c>
      <c r="D475" t="s">
        <v>741</v>
      </c>
      <c r="E475" t="s">
        <v>886</v>
      </c>
      <c r="F475" t="s">
        <v>184</v>
      </c>
      <c r="G475" s="475" t="s">
        <v>1195</v>
      </c>
      <c r="H475" s="475" t="s">
        <v>2010</v>
      </c>
      <c r="I475" t="s">
        <v>835</v>
      </c>
      <c r="J475" t="s">
        <v>2105</v>
      </c>
      <c r="L475">
        <v>276098102749168</v>
      </c>
    </row>
    <row r="476" spans="2:12" ht="12.75">
      <c r="B476">
        <v>2419</v>
      </c>
      <c r="C476" t="s">
        <v>2106</v>
      </c>
      <c r="D476" t="s">
        <v>126</v>
      </c>
      <c r="E476" t="s">
        <v>886</v>
      </c>
      <c r="F476" t="s">
        <v>392</v>
      </c>
      <c r="G476" s="475" t="s">
        <v>2107</v>
      </c>
      <c r="H476" s="475" t="s">
        <v>2108</v>
      </c>
      <c r="I476" t="s">
        <v>835</v>
      </c>
      <c r="J476" t="s">
        <v>2109</v>
      </c>
      <c r="L476">
        <v>276094180016010</v>
      </c>
    </row>
    <row r="477" spans="2:12" ht="12.75">
      <c r="B477">
        <v>2420</v>
      </c>
      <c r="C477" t="s">
        <v>121</v>
      </c>
      <c r="D477" t="s">
        <v>126</v>
      </c>
      <c r="E477" t="s">
        <v>894</v>
      </c>
      <c r="F477" t="s">
        <v>1533</v>
      </c>
      <c r="G477" s="475" t="s">
        <v>2110</v>
      </c>
      <c r="H477" s="475" t="s">
        <v>2108</v>
      </c>
      <c r="I477">
        <v>711</v>
      </c>
      <c r="J477" t="s">
        <v>2109</v>
      </c>
      <c r="L477">
        <v>276097200696813</v>
      </c>
    </row>
    <row r="478" spans="2:12" ht="12.75">
      <c r="B478">
        <v>2423</v>
      </c>
      <c r="C478" t="s">
        <v>523</v>
      </c>
      <c r="D478" t="s">
        <v>131</v>
      </c>
      <c r="E478" t="s">
        <v>886</v>
      </c>
      <c r="F478" t="s">
        <v>640</v>
      </c>
      <c r="G478" s="475" t="s">
        <v>2111</v>
      </c>
      <c r="H478" s="475" t="s">
        <v>2112</v>
      </c>
      <c r="I478" t="s">
        <v>835</v>
      </c>
      <c r="J478" t="s">
        <v>2113</v>
      </c>
      <c r="L478">
        <v>276097209053379</v>
      </c>
    </row>
    <row r="479" spans="2:12" ht="12.75">
      <c r="B479">
        <v>2424</v>
      </c>
      <c r="C479" t="s">
        <v>2114</v>
      </c>
      <c r="D479" t="s">
        <v>126</v>
      </c>
      <c r="E479" t="s">
        <v>886</v>
      </c>
      <c r="F479" t="s">
        <v>1354</v>
      </c>
      <c r="G479" s="475" t="s">
        <v>2115</v>
      </c>
      <c r="H479" s="475" t="s">
        <v>2116</v>
      </c>
      <c r="I479" t="s">
        <v>835</v>
      </c>
      <c r="J479" t="s">
        <v>2117</v>
      </c>
      <c r="L479" t="s">
        <v>2118</v>
      </c>
    </row>
    <row r="480" spans="2:12" ht="12.75">
      <c r="B480">
        <v>2425</v>
      </c>
      <c r="C480" t="s">
        <v>570</v>
      </c>
      <c r="D480" t="s">
        <v>313</v>
      </c>
      <c r="E480" t="s">
        <v>931</v>
      </c>
      <c r="F480" t="s">
        <v>2119</v>
      </c>
      <c r="G480" s="475" t="s">
        <v>2120</v>
      </c>
      <c r="H480" s="475" t="s">
        <v>2116</v>
      </c>
      <c r="I480">
        <v>2809</v>
      </c>
      <c r="J480" t="s">
        <v>181</v>
      </c>
      <c r="L480">
        <v>276093400474243</v>
      </c>
    </row>
    <row r="481" spans="2:12" ht="12.75">
      <c r="B481">
        <v>2426</v>
      </c>
      <c r="C481" t="s">
        <v>2121</v>
      </c>
      <c r="D481" t="s">
        <v>103</v>
      </c>
      <c r="E481" t="s">
        <v>899</v>
      </c>
      <c r="F481" t="s">
        <v>366</v>
      </c>
      <c r="G481" s="475" t="s">
        <v>2122</v>
      </c>
      <c r="H481" s="475" t="s">
        <v>1058</v>
      </c>
      <c r="I481">
        <v>714</v>
      </c>
      <c r="J481" t="s">
        <v>2123</v>
      </c>
      <c r="L481">
        <v>276098104508531</v>
      </c>
    </row>
    <row r="482" spans="2:12" ht="12.75">
      <c r="B482">
        <v>2428</v>
      </c>
      <c r="C482" t="s">
        <v>2124</v>
      </c>
      <c r="D482" t="s">
        <v>103</v>
      </c>
      <c r="E482" t="s">
        <v>886</v>
      </c>
      <c r="F482" t="s">
        <v>767</v>
      </c>
      <c r="G482" s="475" t="s">
        <v>2125</v>
      </c>
      <c r="H482" s="475" t="s">
        <v>2126</v>
      </c>
      <c r="I482" t="s">
        <v>835</v>
      </c>
      <c r="J482" t="s">
        <v>2127</v>
      </c>
      <c r="L482">
        <v>276093400546777</v>
      </c>
    </row>
    <row r="483" spans="2:12" ht="12.75">
      <c r="B483">
        <v>2429</v>
      </c>
      <c r="C483" t="s">
        <v>2128</v>
      </c>
      <c r="D483" t="s">
        <v>347</v>
      </c>
      <c r="E483" t="s">
        <v>899</v>
      </c>
      <c r="F483" t="s">
        <v>2129</v>
      </c>
      <c r="G483" s="475" t="s">
        <v>2130</v>
      </c>
      <c r="H483" s="475" t="s">
        <v>1218</v>
      </c>
      <c r="I483">
        <v>8404</v>
      </c>
      <c r="J483" t="s">
        <v>1600</v>
      </c>
      <c r="L483">
        <v>276098104897227</v>
      </c>
    </row>
    <row r="484" spans="2:12" ht="12.75">
      <c r="B484">
        <v>2431</v>
      </c>
      <c r="C484" t="s">
        <v>2131</v>
      </c>
      <c r="D484" t="s">
        <v>103</v>
      </c>
      <c r="E484" t="s">
        <v>886</v>
      </c>
      <c r="F484" t="s">
        <v>325</v>
      </c>
      <c r="G484" s="475" t="s">
        <v>2132</v>
      </c>
      <c r="H484" s="475" t="s">
        <v>2133</v>
      </c>
      <c r="I484" t="s">
        <v>835</v>
      </c>
      <c r="J484" t="s">
        <v>326</v>
      </c>
      <c r="L484">
        <v>276094100182098</v>
      </c>
    </row>
    <row r="485" spans="2:12" ht="12.75">
      <c r="B485">
        <v>2432</v>
      </c>
      <c r="C485" t="s">
        <v>2134</v>
      </c>
      <c r="D485" t="s">
        <v>360</v>
      </c>
      <c r="E485" t="s">
        <v>886</v>
      </c>
      <c r="F485" t="s">
        <v>325</v>
      </c>
      <c r="G485" s="475" t="s">
        <v>1795</v>
      </c>
      <c r="H485" s="475" t="s">
        <v>1317</v>
      </c>
      <c r="I485" t="s">
        <v>835</v>
      </c>
      <c r="J485" t="s">
        <v>326</v>
      </c>
      <c r="L485">
        <v>276094500130478</v>
      </c>
    </row>
    <row r="486" spans="2:12" ht="12.75">
      <c r="B486">
        <v>2433</v>
      </c>
      <c r="C486" t="s">
        <v>1769</v>
      </c>
      <c r="D486" t="s">
        <v>103</v>
      </c>
      <c r="E486" t="s">
        <v>886</v>
      </c>
      <c r="F486" t="s">
        <v>331</v>
      </c>
      <c r="G486" s="475" t="s">
        <v>2132</v>
      </c>
      <c r="H486" s="475" t="s">
        <v>2135</v>
      </c>
      <c r="I486" t="s">
        <v>835</v>
      </c>
      <c r="J486" t="s">
        <v>332</v>
      </c>
      <c r="L486">
        <v>276094100182031</v>
      </c>
    </row>
    <row r="487" spans="2:12" ht="12.75">
      <c r="B487">
        <v>2434</v>
      </c>
      <c r="C487" t="s">
        <v>825</v>
      </c>
      <c r="D487" t="s">
        <v>103</v>
      </c>
      <c r="E487" t="s">
        <v>894</v>
      </c>
      <c r="F487" t="s">
        <v>232</v>
      </c>
      <c r="G487" s="475" t="s">
        <v>2136</v>
      </c>
      <c r="H487" s="475" t="s">
        <v>2137</v>
      </c>
      <c r="I487">
        <v>534</v>
      </c>
      <c r="J487" t="s">
        <v>233</v>
      </c>
      <c r="L487">
        <v>276096909175214</v>
      </c>
    </row>
    <row r="488" spans="2:12" ht="12.75">
      <c r="B488">
        <v>2436</v>
      </c>
      <c r="C488" t="s">
        <v>428</v>
      </c>
      <c r="D488" t="s">
        <v>422</v>
      </c>
      <c r="E488" t="s">
        <v>894</v>
      </c>
      <c r="F488" t="s">
        <v>232</v>
      </c>
      <c r="G488" s="475" t="s">
        <v>2138</v>
      </c>
      <c r="H488" s="475" t="s">
        <v>1799</v>
      </c>
      <c r="I488">
        <v>10013</v>
      </c>
      <c r="J488" t="s">
        <v>2139</v>
      </c>
      <c r="L488">
        <v>939000010407119</v>
      </c>
    </row>
    <row r="489" spans="2:12" ht="12.75">
      <c r="B489">
        <v>2437</v>
      </c>
      <c r="C489" t="s">
        <v>2140</v>
      </c>
      <c r="D489" t="s">
        <v>172</v>
      </c>
      <c r="E489" t="s">
        <v>886</v>
      </c>
      <c r="F489" t="s">
        <v>722</v>
      </c>
      <c r="G489" s="475" t="s">
        <v>2141</v>
      </c>
      <c r="H489" s="475" t="s">
        <v>2142</v>
      </c>
      <c r="I489" t="s">
        <v>835</v>
      </c>
      <c r="J489" t="s">
        <v>2143</v>
      </c>
      <c r="L489">
        <v>276098104314162</v>
      </c>
    </row>
    <row r="490" spans="2:12" ht="12.75">
      <c r="B490">
        <v>2438</v>
      </c>
      <c r="C490" t="s">
        <v>291</v>
      </c>
      <c r="D490" t="s">
        <v>123</v>
      </c>
      <c r="E490" t="s">
        <v>931</v>
      </c>
      <c r="F490" t="s">
        <v>359</v>
      </c>
      <c r="G490" s="475" t="s">
        <v>2144</v>
      </c>
      <c r="H490" s="475" t="s">
        <v>2145</v>
      </c>
      <c r="I490" t="s">
        <v>836</v>
      </c>
      <c r="J490" t="s">
        <v>2146</v>
      </c>
      <c r="L490">
        <v>941000011696643</v>
      </c>
    </row>
    <row r="491" spans="2:12" ht="12.75">
      <c r="B491">
        <v>2439</v>
      </c>
      <c r="C491" t="s">
        <v>2147</v>
      </c>
      <c r="D491" t="s">
        <v>123</v>
      </c>
      <c r="E491" t="s">
        <v>923</v>
      </c>
      <c r="F491" t="s">
        <v>286</v>
      </c>
      <c r="G491" s="475" t="s">
        <v>2148</v>
      </c>
      <c r="H491" s="475" t="s">
        <v>1989</v>
      </c>
      <c r="I491" t="s">
        <v>836</v>
      </c>
      <c r="J491" t="s">
        <v>2149</v>
      </c>
      <c r="L491">
        <v>276098104830816</v>
      </c>
    </row>
    <row r="492" spans="2:12" ht="12.75">
      <c r="B492">
        <v>2443</v>
      </c>
      <c r="C492" t="s">
        <v>116</v>
      </c>
      <c r="D492" t="s">
        <v>185</v>
      </c>
      <c r="E492" t="s">
        <v>886</v>
      </c>
      <c r="F492" t="s">
        <v>2150</v>
      </c>
      <c r="G492" s="475" t="s">
        <v>2151</v>
      </c>
      <c r="H492" s="475" t="s">
        <v>2152</v>
      </c>
      <c r="I492" t="s">
        <v>835</v>
      </c>
      <c r="L492">
        <v>276093400480832</v>
      </c>
    </row>
    <row r="493" spans="2:12" ht="12.75">
      <c r="B493">
        <v>2444</v>
      </c>
      <c r="C493" t="s">
        <v>114</v>
      </c>
      <c r="D493" t="s">
        <v>131</v>
      </c>
      <c r="E493" t="s">
        <v>886</v>
      </c>
      <c r="F493" t="s">
        <v>202</v>
      </c>
      <c r="G493" s="475" t="s">
        <v>2153</v>
      </c>
      <c r="H493" s="475" t="s">
        <v>2154</v>
      </c>
      <c r="I493" t="s">
        <v>835</v>
      </c>
      <c r="L493">
        <v>276093400480849</v>
      </c>
    </row>
    <row r="494" spans="2:12" ht="12.75">
      <c r="B494">
        <v>2446</v>
      </c>
      <c r="C494" t="s">
        <v>2155</v>
      </c>
      <c r="D494" t="s">
        <v>126</v>
      </c>
      <c r="E494" t="s">
        <v>899</v>
      </c>
      <c r="F494" t="s">
        <v>638</v>
      </c>
      <c r="G494" s="475" t="s">
        <v>2156</v>
      </c>
      <c r="H494" s="475" t="s">
        <v>2157</v>
      </c>
      <c r="I494" t="s">
        <v>836</v>
      </c>
      <c r="J494" t="s">
        <v>2158</v>
      </c>
      <c r="L494">
        <v>968000004096571</v>
      </c>
    </row>
    <row r="495" spans="2:12" ht="12.75">
      <c r="B495">
        <v>2447</v>
      </c>
      <c r="C495" t="s">
        <v>2159</v>
      </c>
      <c r="D495" t="s">
        <v>126</v>
      </c>
      <c r="E495" t="s">
        <v>894</v>
      </c>
      <c r="F495" t="s">
        <v>555</v>
      </c>
      <c r="G495" s="475" t="s">
        <v>2160</v>
      </c>
      <c r="H495" s="475" t="s">
        <v>1678</v>
      </c>
      <c r="I495">
        <v>7009</v>
      </c>
      <c r="J495" t="s">
        <v>2161</v>
      </c>
      <c r="L495">
        <v>276095610037671</v>
      </c>
    </row>
    <row r="496" spans="2:12" ht="12.75">
      <c r="B496">
        <v>2449</v>
      </c>
      <c r="C496" t="s">
        <v>1984</v>
      </c>
      <c r="D496" t="s">
        <v>126</v>
      </c>
      <c r="E496" t="s">
        <v>886</v>
      </c>
      <c r="F496" t="s">
        <v>488</v>
      </c>
      <c r="G496" s="475" t="s">
        <v>2162</v>
      </c>
      <c r="H496" s="475" t="s">
        <v>1889</v>
      </c>
      <c r="I496" t="s">
        <v>835</v>
      </c>
      <c r="J496" t="s">
        <v>2163</v>
      </c>
      <c r="L496">
        <v>276094180073165</v>
      </c>
    </row>
    <row r="497" spans="2:12" ht="12.75">
      <c r="B497">
        <v>2452</v>
      </c>
      <c r="C497" t="s">
        <v>2164</v>
      </c>
      <c r="D497" t="s">
        <v>126</v>
      </c>
      <c r="E497" t="s">
        <v>886</v>
      </c>
      <c r="F497" t="s">
        <v>801</v>
      </c>
      <c r="G497" s="475" t="s">
        <v>2165</v>
      </c>
      <c r="H497" s="475" t="s">
        <v>1052</v>
      </c>
      <c r="I497" t="s">
        <v>835</v>
      </c>
      <c r="J497" t="s">
        <v>2166</v>
      </c>
      <c r="L497">
        <v>276093400398075</v>
      </c>
    </row>
    <row r="498" spans="2:12" ht="12.75">
      <c r="B498">
        <v>2453</v>
      </c>
      <c r="C498" t="s">
        <v>466</v>
      </c>
      <c r="D498" t="s">
        <v>126</v>
      </c>
      <c r="E498" t="s">
        <v>894</v>
      </c>
      <c r="F498" t="s">
        <v>327</v>
      </c>
      <c r="G498" s="475" t="s">
        <v>2167</v>
      </c>
      <c r="H498" s="475" t="s">
        <v>1044</v>
      </c>
      <c r="I498">
        <v>9202</v>
      </c>
      <c r="J498" t="s">
        <v>2168</v>
      </c>
      <c r="L498">
        <v>276095610034116</v>
      </c>
    </row>
    <row r="499" spans="2:12" ht="12.75">
      <c r="B499">
        <v>2454</v>
      </c>
      <c r="C499" t="s">
        <v>491</v>
      </c>
      <c r="D499" t="s">
        <v>185</v>
      </c>
      <c r="E499" t="s">
        <v>886</v>
      </c>
      <c r="F499" t="s">
        <v>1835</v>
      </c>
      <c r="G499" s="475" t="s">
        <v>2169</v>
      </c>
      <c r="H499" s="475" t="s">
        <v>2047</v>
      </c>
      <c r="I499" t="s">
        <v>835</v>
      </c>
      <c r="J499" t="s">
        <v>2170</v>
      </c>
      <c r="L499">
        <v>276098104147180</v>
      </c>
    </row>
    <row r="500" spans="2:12" ht="12.75">
      <c r="B500">
        <v>2455</v>
      </c>
      <c r="C500" t="s">
        <v>354</v>
      </c>
      <c r="D500" t="s">
        <v>123</v>
      </c>
      <c r="E500" t="s">
        <v>928</v>
      </c>
      <c r="F500" t="s">
        <v>2171</v>
      </c>
      <c r="G500" s="475" t="s">
        <v>2172</v>
      </c>
      <c r="H500" s="475" t="s">
        <v>2173</v>
      </c>
      <c r="I500" t="s">
        <v>836</v>
      </c>
      <c r="J500" t="s">
        <v>776</v>
      </c>
      <c r="L500">
        <v>900096000044735</v>
      </c>
    </row>
    <row r="501" spans="2:12" ht="12.75">
      <c r="B501">
        <v>2456</v>
      </c>
      <c r="C501" t="s">
        <v>2174</v>
      </c>
      <c r="D501" t="s">
        <v>131</v>
      </c>
      <c r="E501" t="s">
        <v>886</v>
      </c>
      <c r="F501" t="s">
        <v>341</v>
      </c>
      <c r="G501" s="475" t="s">
        <v>2175</v>
      </c>
      <c r="H501" s="475" t="s">
        <v>2176</v>
      </c>
      <c r="I501" t="s">
        <v>835</v>
      </c>
      <c r="L501">
        <v>276098104713598</v>
      </c>
    </row>
    <row r="502" spans="2:12" ht="12.75">
      <c r="B502">
        <v>2457</v>
      </c>
      <c r="C502" t="s">
        <v>2177</v>
      </c>
      <c r="D502" t="s">
        <v>126</v>
      </c>
      <c r="E502" t="s">
        <v>886</v>
      </c>
      <c r="F502" t="s">
        <v>2178</v>
      </c>
      <c r="G502" s="475" t="s">
        <v>2179</v>
      </c>
      <c r="H502" s="475" t="s">
        <v>2012</v>
      </c>
      <c r="I502" t="s">
        <v>835</v>
      </c>
      <c r="J502" t="s">
        <v>2180</v>
      </c>
      <c r="L502">
        <v>276095600078486</v>
      </c>
    </row>
    <row r="503" spans="2:12" ht="12.75">
      <c r="B503">
        <v>2458</v>
      </c>
      <c r="C503" t="s">
        <v>513</v>
      </c>
      <c r="D503" t="s">
        <v>172</v>
      </c>
      <c r="E503" t="s">
        <v>886</v>
      </c>
      <c r="F503" t="s">
        <v>202</v>
      </c>
      <c r="G503" s="475" t="s">
        <v>2181</v>
      </c>
      <c r="H503" s="475" t="s">
        <v>2182</v>
      </c>
      <c r="I503" t="s">
        <v>835</v>
      </c>
      <c r="J503" t="s">
        <v>2183</v>
      </c>
      <c r="L503">
        <v>276098104477989</v>
      </c>
    </row>
    <row r="504" spans="2:12" ht="12.75">
      <c r="B504">
        <v>2459</v>
      </c>
      <c r="C504" t="s">
        <v>2184</v>
      </c>
      <c r="D504" t="s">
        <v>960</v>
      </c>
      <c r="E504" t="s">
        <v>886</v>
      </c>
      <c r="F504" t="s">
        <v>370</v>
      </c>
      <c r="G504" s="475" t="s">
        <v>2185</v>
      </c>
      <c r="H504" s="475" t="s">
        <v>965</v>
      </c>
      <c r="I504" t="s">
        <v>835</v>
      </c>
      <c r="J504" t="s">
        <v>1349</v>
      </c>
      <c r="L504">
        <v>276098104750376</v>
      </c>
    </row>
    <row r="505" spans="2:12" ht="12.75">
      <c r="B505">
        <v>2460</v>
      </c>
      <c r="C505" t="s">
        <v>2186</v>
      </c>
      <c r="D505" t="s">
        <v>103</v>
      </c>
      <c r="E505" t="s">
        <v>886</v>
      </c>
      <c r="F505" t="s">
        <v>187</v>
      </c>
      <c r="G505" s="475" t="s">
        <v>2187</v>
      </c>
      <c r="H505" s="475" t="s">
        <v>1761</v>
      </c>
      <c r="I505" t="s">
        <v>835</v>
      </c>
      <c r="J505" t="s">
        <v>787</v>
      </c>
      <c r="L505">
        <v>276094500133306</v>
      </c>
    </row>
    <row r="506" spans="2:12" ht="12.75">
      <c r="B506">
        <v>2465</v>
      </c>
      <c r="C506" t="s">
        <v>2188</v>
      </c>
      <c r="D506" t="s">
        <v>185</v>
      </c>
      <c r="E506" t="s">
        <v>886</v>
      </c>
      <c r="F506" t="s">
        <v>2189</v>
      </c>
      <c r="G506" s="475" t="s">
        <v>2190</v>
      </c>
      <c r="H506" s="475" t="s">
        <v>2191</v>
      </c>
      <c r="I506" t="s">
        <v>835</v>
      </c>
      <c r="J506" t="s">
        <v>2192</v>
      </c>
      <c r="L506">
        <v>276096907004840</v>
      </c>
    </row>
    <row r="507" spans="2:12" ht="12.75">
      <c r="B507">
        <v>2468</v>
      </c>
      <c r="C507" t="s">
        <v>1952</v>
      </c>
      <c r="D507" t="s">
        <v>229</v>
      </c>
      <c r="E507" t="s">
        <v>928</v>
      </c>
      <c r="F507" t="s">
        <v>1605</v>
      </c>
      <c r="G507" s="475" t="s">
        <v>2193</v>
      </c>
      <c r="H507" s="475" t="s">
        <v>1041</v>
      </c>
      <c r="I507">
        <v>1312</v>
      </c>
      <c r="J507" t="s">
        <v>1607</v>
      </c>
      <c r="L507">
        <v>276097202326077</v>
      </c>
    </row>
    <row r="508" spans="2:12" ht="12.75">
      <c r="B508">
        <v>2469</v>
      </c>
      <c r="C508" t="s">
        <v>105</v>
      </c>
      <c r="D508" t="s">
        <v>103</v>
      </c>
      <c r="E508" t="s">
        <v>886</v>
      </c>
      <c r="F508" t="s">
        <v>218</v>
      </c>
      <c r="G508" s="475" t="s">
        <v>2194</v>
      </c>
      <c r="H508" s="475" t="s">
        <v>2195</v>
      </c>
      <c r="I508" t="s">
        <v>835</v>
      </c>
      <c r="J508" t="s">
        <v>622</v>
      </c>
      <c r="L508">
        <v>276098104876011</v>
      </c>
    </row>
    <row r="509" spans="2:12" ht="12.75">
      <c r="B509">
        <v>2472</v>
      </c>
      <c r="C509" t="s">
        <v>2196</v>
      </c>
      <c r="D509" t="s">
        <v>103</v>
      </c>
      <c r="E509" t="s">
        <v>886</v>
      </c>
      <c r="F509" t="s">
        <v>619</v>
      </c>
      <c r="G509" s="475" t="s">
        <v>2197</v>
      </c>
      <c r="H509" s="475" t="s">
        <v>2198</v>
      </c>
      <c r="I509" t="s">
        <v>835</v>
      </c>
      <c r="J509" t="s">
        <v>2199</v>
      </c>
      <c r="L509">
        <v>276096909227442</v>
      </c>
    </row>
    <row r="510" spans="2:12" ht="12.75">
      <c r="B510">
        <v>2473</v>
      </c>
      <c r="C510" t="s">
        <v>194</v>
      </c>
      <c r="D510" t="s">
        <v>103</v>
      </c>
      <c r="E510" t="s">
        <v>886</v>
      </c>
      <c r="F510" t="s">
        <v>368</v>
      </c>
      <c r="G510" s="475" t="s">
        <v>2200</v>
      </c>
      <c r="H510" s="475" t="s">
        <v>999</v>
      </c>
      <c r="I510" t="s">
        <v>835</v>
      </c>
      <c r="J510" t="s">
        <v>293</v>
      </c>
      <c r="L510">
        <v>276098104744441</v>
      </c>
    </row>
    <row r="511" spans="2:12" ht="12.75">
      <c r="B511">
        <v>2474</v>
      </c>
      <c r="C511" t="s">
        <v>2201</v>
      </c>
      <c r="D511" t="s">
        <v>103</v>
      </c>
      <c r="E511" t="s">
        <v>899</v>
      </c>
      <c r="F511" t="s">
        <v>691</v>
      </c>
      <c r="G511" s="475" t="s">
        <v>2202</v>
      </c>
      <c r="H511" s="475" t="s">
        <v>1070</v>
      </c>
      <c r="I511" t="s">
        <v>836</v>
      </c>
      <c r="J511" t="s">
        <v>2203</v>
      </c>
      <c r="L511">
        <v>40097809073840</v>
      </c>
    </row>
    <row r="512" spans="2:12" ht="12.75">
      <c r="B512">
        <v>2475</v>
      </c>
      <c r="C512" t="s">
        <v>395</v>
      </c>
      <c r="D512" t="s">
        <v>103</v>
      </c>
      <c r="E512" t="s">
        <v>886</v>
      </c>
      <c r="F512" t="s">
        <v>440</v>
      </c>
      <c r="G512" s="475" t="s">
        <v>2204</v>
      </c>
      <c r="H512" s="475" t="s">
        <v>1060</v>
      </c>
      <c r="I512" t="s">
        <v>835</v>
      </c>
      <c r="J512" t="s">
        <v>2205</v>
      </c>
      <c r="L512">
        <v>276094500048466</v>
      </c>
    </row>
    <row r="513" spans="2:12" ht="12.75">
      <c r="B513">
        <v>2476</v>
      </c>
      <c r="C513" t="s">
        <v>139</v>
      </c>
      <c r="D513" t="s">
        <v>103</v>
      </c>
      <c r="E513" t="s">
        <v>886</v>
      </c>
      <c r="F513" t="s">
        <v>263</v>
      </c>
      <c r="G513" s="475" t="s">
        <v>2206</v>
      </c>
      <c r="H513" s="475" t="s">
        <v>2207</v>
      </c>
      <c r="I513" t="s">
        <v>835</v>
      </c>
      <c r="J513" t="s">
        <v>598</v>
      </c>
      <c r="L513">
        <v>276098106024613</v>
      </c>
    </row>
    <row r="514" spans="2:12" ht="12.75">
      <c r="B514">
        <v>2477</v>
      </c>
      <c r="C514" t="s">
        <v>2208</v>
      </c>
      <c r="D514" t="s">
        <v>103</v>
      </c>
      <c r="E514" t="s">
        <v>886</v>
      </c>
      <c r="F514" t="s">
        <v>2209</v>
      </c>
      <c r="G514" s="475" t="s">
        <v>1579</v>
      </c>
      <c r="H514" s="475" t="s">
        <v>1103</v>
      </c>
      <c r="I514" t="s">
        <v>835</v>
      </c>
      <c r="J514" t="s">
        <v>2210</v>
      </c>
      <c r="L514">
        <v>276096901161279</v>
      </c>
    </row>
    <row r="515" spans="2:12" ht="12.75">
      <c r="B515">
        <v>2478</v>
      </c>
      <c r="C515" t="s">
        <v>476</v>
      </c>
      <c r="D515" t="s">
        <v>103</v>
      </c>
      <c r="E515" t="s">
        <v>886</v>
      </c>
      <c r="F515" t="s">
        <v>1659</v>
      </c>
      <c r="G515" s="475" t="s">
        <v>2211</v>
      </c>
      <c r="H515" s="475" t="s">
        <v>2212</v>
      </c>
      <c r="I515" t="s">
        <v>835</v>
      </c>
      <c r="J515" t="s">
        <v>1662</v>
      </c>
      <c r="L515">
        <v>276098102047985</v>
      </c>
    </row>
    <row r="516" spans="2:12" ht="12.75">
      <c r="B516">
        <v>2479</v>
      </c>
      <c r="C516" t="s">
        <v>2213</v>
      </c>
      <c r="D516" t="s">
        <v>704</v>
      </c>
      <c r="E516" t="s">
        <v>928</v>
      </c>
      <c r="F516" t="s">
        <v>274</v>
      </c>
      <c r="G516" s="475" t="s">
        <v>2214</v>
      </c>
      <c r="H516" s="475" t="s">
        <v>2215</v>
      </c>
      <c r="I516">
        <v>8405</v>
      </c>
      <c r="J516" t="s">
        <v>2216</v>
      </c>
      <c r="L516">
        <v>276098104939505</v>
      </c>
    </row>
    <row r="517" spans="2:12" ht="12.75">
      <c r="B517">
        <v>2480</v>
      </c>
      <c r="C517" t="s">
        <v>2217</v>
      </c>
      <c r="D517" t="s">
        <v>379</v>
      </c>
      <c r="E517" t="s">
        <v>886</v>
      </c>
      <c r="F517" t="s">
        <v>359</v>
      </c>
      <c r="G517" s="475" t="s">
        <v>2218</v>
      </c>
      <c r="H517" s="475" t="s">
        <v>2219</v>
      </c>
      <c r="I517" t="s">
        <v>835</v>
      </c>
      <c r="J517" t="s">
        <v>2220</v>
      </c>
      <c r="L517">
        <v>934000011039913</v>
      </c>
    </row>
    <row r="518" spans="2:12" ht="12.75">
      <c r="B518">
        <v>2482</v>
      </c>
      <c r="C518" t="s">
        <v>217</v>
      </c>
      <c r="D518" t="s">
        <v>1707</v>
      </c>
      <c r="E518" t="s">
        <v>899</v>
      </c>
      <c r="F518" t="s">
        <v>535</v>
      </c>
      <c r="G518" s="475" t="s">
        <v>1996</v>
      </c>
      <c r="H518" s="475" t="s">
        <v>1263</v>
      </c>
      <c r="I518">
        <v>8703</v>
      </c>
      <c r="J518" t="s">
        <v>2221</v>
      </c>
      <c r="L518">
        <v>276097202131964</v>
      </c>
    </row>
    <row r="519" spans="2:12" ht="12.75">
      <c r="B519">
        <v>2483</v>
      </c>
      <c r="C519" t="s">
        <v>2222</v>
      </c>
      <c r="D519" t="s">
        <v>123</v>
      </c>
      <c r="E519" t="s">
        <v>886</v>
      </c>
      <c r="F519" t="s">
        <v>2223</v>
      </c>
      <c r="G519" s="475" t="s">
        <v>1857</v>
      </c>
      <c r="H519" s="475" t="s">
        <v>1163</v>
      </c>
      <c r="I519" t="s">
        <v>835</v>
      </c>
      <c r="J519" t="s">
        <v>2224</v>
      </c>
      <c r="L519">
        <v>276095600079736</v>
      </c>
    </row>
    <row r="520" spans="2:12" ht="12.75">
      <c r="B520">
        <v>2484</v>
      </c>
      <c r="C520" t="s">
        <v>2225</v>
      </c>
      <c r="D520" t="s">
        <v>122</v>
      </c>
      <c r="E520" t="s">
        <v>928</v>
      </c>
      <c r="F520" t="s">
        <v>269</v>
      </c>
      <c r="G520" s="475" t="s">
        <v>2226</v>
      </c>
      <c r="H520" s="475" t="s">
        <v>2227</v>
      </c>
      <c r="I520">
        <v>7702</v>
      </c>
      <c r="J520" t="s">
        <v>2228</v>
      </c>
      <c r="L520">
        <v>276898518243615</v>
      </c>
    </row>
    <row r="521" spans="2:12" ht="12.75">
      <c r="B521">
        <v>2487</v>
      </c>
      <c r="C521" t="s">
        <v>2229</v>
      </c>
      <c r="D521" t="s">
        <v>103</v>
      </c>
      <c r="E521" t="s">
        <v>886</v>
      </c>
      <c r="F521" t="s">
        <v>318</v>
      </c>
      <c r="G521" s="475" t="s">
        <v>2230</v>
      </c>
      <c r="H521" s="475" t="s">
        <v>1445</v>
      </c>
      <c r="I521" t="s">
        <v>835</v>
      </c>
      <c r="J521" t="s">
        <v>602</v>
      </c>
      <c r="L521">
        <v>276093400582336</v>
      </c>
    </row>
    <row r="522" spans="2:12" ht="12.75">
      <c r="B522">
        <v>2489</v>
      </c>
      <c r="C522" t="s">
        <v>2231</v>
      </c>
      <c r="D522" t="s">
        <v>103</v>
      </c>
      <c r="E522" t="s">
        <v>886</v>
      </c>
      <c r="F522" t="s">
        <v>2232</v>
      </c>
      <c r="G522" s="475" t="s">
        <v>2233</v>
      </c>
      <c r="H522" s="475" t="s">
        <v>2010</v>
      </c>
      <c r="I522" t="s">
        <v>835</v>
      </c>
      <c r="J522" t="s">
        <v>2234</v>
      </c>
      <c r="L522">
        <v>528210004193528</v>
      </c>
    </row>
    <row r="523" spans="2:12" ht="12.75">
      <c r="B523">
        <v>2490</v>
      </c>
      <c r="C523" t="s">
        <v>2235</v>
      </c>
      <c r="D523" t="s">
        <v>103</v>
      </c>
      <c r="E523" t="s">
        <v>886</v>
      </c>
      <c r="F523" t="s">
        <v>769</v>
      </c>
      <c r="G523" s="475" t="s">
        <v>2230</v>
      </c>
      <c r="H523" s="475" t="s">
        <v>2236</v>
      </c>
      <c r="I523" t="s">
        <v>835</v>
      </c>
      <c r="J523" t="s">
        <v>1790</v>
      </c>
      <c r="L523">
        <v>276093400582385</v>
      </c>
    </row>
    <row r="524" spans="2:12" ht="12.75">
      <c r="B524">
        <v>2494</v>
      </c>
      <c r="C524" t="s">
        <v>2237</v>
      </c>
      <c r="D524" t="s">
        <v>424</v>
      </c>
      <c r="E524" t="s">
        <v>886</v>
      </c>
      <c r="F524" t="s">
        <v>771</v>
      </c>
      <c r="G524" s="475" t="s">
        <v>2238</v>
      </c>
      <c r="H524" s="475" t="s">
        <v>2239</v>
      </c>
      <c r="I524" t="s">
        <v>835</v>
      </c>
      <c r="J524" t="s">
        <v>2240</v>
      </c>
      <c r="L524">
        <v>276098104803174</v>
      </c>
    </row>
    <row r="525" spans="2:12" ht="12.75">
      <c r="B525">
        <v>2495</v>
      </c>
      <c r="C525" t="s">
        <v>2241</v>
      </c>
      <c r="D525" t="s">
        <v>126</v>
      </c>
      <c r="E525" t="s">
        <v>886</v>
      </c>
      <c r="F525" t="s">
        <v>2242</v>
      </c>
      <c r="G525" s="475" t="s">
        <v>2243</v>
      </c>
      <c r="H525" s="475" t="s">
        <v>1048</v>
      </c>
      <c r="I525" t="s">
        <v>835</v>
      </c>
      <c r="J525" t="s">
        <v>201</v>
      </c>
      <c r="L525">
        <v>276097202413018</v>
      </c>
    </row>
    <row r="526" spans="2:12" ht="12.75">
      <c r="B526">
        <v>2496</v>
      </c>
      <c r="C526" t="s">
        <v>114</v>
      </c>
      <c r="D526" t="s">
        <v>2244</v>
      </c>
      <c r="E526" t="s">
        <v>886</v>
      </c>
      <c r="F526" t="s">
        <v>2245</v>
      </c>
      <c r="G526" s="475" t="s">
        <v>2246</v>
      </c>
      <c r="H526" s="475" t="s">
        <v>2247</v>
      </c>
      <c r="I526" t="s">
        <v>835</v>
      </c>
      <c r="J526" t="s">
        <v>618</v>
      </c>
      <c r="L526">
        <v>276093400437254</v>
      </c>
    </row>
    <row r="527" spans="2:12" ht="12.75">
      <c r="B527">
        <v>2497</v>
      </c>
      <c r="C527" t="s">
        <v>125</v>
      </c>
      <c r="D527" t="s">
        <v>103</v>
      </c>
      <c r="E527" t="s">
        <v>886</v>
      </c>
      <c r="F527" t="s">
        <v>547</v>
      </c>
      <c r="G527" s="475" t="s">
        <v>2248</v>
      </c>
      <c r="H527" s="475" t="s">
        <v>2249</v>
      </c>
      <c r="I527" t="s">
        <v>835</v>
      </c>
      <c r="J527" t="s">
        <v>2250</v>
      </c>
      <c r="L527">
        <v>276096909234170</v>
      </c>
    </row>
    <row r="528" spans="2:12" ht="12.75">
      <c r="B528">
        <v>2498</v>
      </c>
      <c r="C528" t="s">
        <v>190</v>
      </c>
      <c r="D528" t="s">
        <v>126</v>
      </c>
      <c r="E528" t="s">
        <v>886</v>
      </c>
      <c r="F528" t="s">
        <v>228</v>
      </c>
      <c r="G528" s="475" t="s">
        <v>2251</v>
      </c>
      <c r="H528" s="475" t="s">
        <v>2252</v>
      </c>
      <c r="I528" t="s">
        <v>835</v>
      </c>
      <c r="J528" t="s">
        <v>2253</v>
      </c>
      <c r="L528">
        <v>276093400485344</v>
      </c>
    </row>
    <row r="529" spans="2:12" ht="12.75">
      <c r="B529">
        <v>2500</v>
      </c>
      <c r="C529" t="s">
        <v>2254</v>
      </c>
      <c r="D529" t="s">
        <v>424</v>
      </c>
      <c r="E529" t="s">
        <v>886</v>
      </c>
      <c r="F529" t="s">
        <v>430</v>
      </c>
      <c r="G529" s="475" t="s">
        <v>2255</v>
      </c>
      <c r="H529" s="475" t="s">
        <v>1375</v>
      </c>
      <c r="I529" t="s">
        <v>835</v>
      </c>
      <c r="J529" t="s">
        <v>2256</v>
      </c>
      <c r="L529">
        <v>276098200018259</v>
      </c>
    </row>
    <row r="530" spans="2:12" ht="12.75">
      <c r="B530">
        <v>2502</v>
      </c>
      <c r="C530" t="s">
        <v>2257</v>
      </c>
      <c r="D530" t="s">
        <v>214</v>
      </c>
      <c r="E530" t="s">
        <v>886</v>
      </c>
      <c r="F530" t="s">
        <v>218</v>
      </c>
      <c r="G530" s="475" t="s">
        <v>2258</v>
      </c>
      <c r="H530" s="475" t="s">
        <v>2259</v>
      </c>
      <c r="I530" t="s">
        <v>835</v>
      </c>
      <c r="J530" t="s">
        <v>2260</v>
      </c>
      <c r="L530">
        <v>276096901243796</v>
      </c>
    </row>
    <row r="531" spans="2:12" ht="12.75">
      <c r="B531">
        <v>2504</v>
      </c>
      <c r="C531" t="s">
        <v>2261</v>
      </c>
      <c r="D531" t="s">
        <v>185</v>
      </c>
      <c r="E531" t="s">
        <v>886</v>
      </c>
      <c r="F531" t="s">
        <v>286</v>
      </c>
      <c r="G531" s="475" t="s">
        <v>2200</v>
      </c>
      <c r="H531" s="475" t="s">
        <v>1691</v>
      </c>
      <c r="I531" t="s">
        <v>835</v>
      </c>
      <c r="J531" t="s">
        <v>2262</v>
      </c>
      <c r="L531">
        <v>276098104635483</v>
      </c>
    </row>
    <row r="532" spans="2:12" ht="12.75">
      <c r="B532">
        <v>2506</v>
      </c>
      <c r="C532" t="s">
        <v>2263</v>
      </c>
      <c r="D532" t="s">
        <v>126</v>
      </c>
      <c r="E532" t="s">
        <v>886</v>
      </c>
      <c r="F532" t="s">
        <v>502</v>
      </c>
      <c r="G532" s="475" t="s">
        <v>2264</v>
      </c>
      <c r="H532" s="475" t="s">
        <v>2265</v>
      </c>
      <c r="I532" t="s">
        <v>835</v>
      </c>
      <c r="J532" t="s">
        <v>1706</v>
      </c>
      <c r="L532">
        <v>276093400335961</v>
      </c>
    </row>
    <row r="533" spans="2:12" ht="12.75">
      <c r="B533">
        <v>2507</v>
      </c>
      <c r="C533" t="s">
        <v>2266</v>
      </c>
      <c r="D533" t="s">
        <v>224</v>
      </c>
      <c r="E533" t="s">
        <v>886</v>
      </c>
      <c r="F533" t="s">
        <v>647</v>
      </c>
      <c r="G533" s="475" t="s">
        <v>2267</v>
      </c>
      <c r="H533" s="475" t="s">
        <v>2268</v>
      </c>
      <c r="I533" t="s">
        <v>835</v>
      </c>
      <c r="J533" t="s">
        <v>637</v>
      </c>
      <c r="L533">
        <v>276094500143676</v>
      </c>
    </row>
    <row r="534" spans="2:10" ht="12.75">
      <c r="B534">
        <v>2510</v>
      </c>
      <c r="C534" t="s">
        <v>1839</v>
      </c>
      <c r="D534" t="s">
        <v>543</v>
      </c>
      <c r="E534" t="s">
        <v>886</v>
      </c>
      <c r="F534" t="s">
        <v>398</v>
      </c>
      <c r="G534" s="475" t="s">
        <v>1581</v>
      </c>
      <c r="H534" s="475" t="s">
        <v>1809</v>
      </c>
      <c r="I534" t="s">
        <v>835</v>
      </c>
      <c r="J534" t="s">
        <v>2269</v>
      </c>
    </row>
    <row r="535" spans="2:12" ht="12.75">
      <c r="B535">
        <v>2511</v>
      </c>
      <c r="C535" t="s">
        <v>497</v>
      </c>
      <c r="D535" t="s">
        <v>2270</v>
      </c>
      <c r="E535" t="s">
        <v>886</v>
      </c>
      <c r="F535" t="s">
        <v>2271</v>
      </c>
      <c r="G535" s="475" t="s">
        <v>2272</v>
      </c>
      <c r="H535" s="475" t="s">
        <v>1103</v>
      </c>
      <c r="I535" t="s">
        <v>835</v>
      </c>
      <c r="J535" t="s">
        <v>2273</v>
      </c>
      <c r="L535">
        <v>276096907061170</v>
      </c>
    </row>
    <row r="536" spans="2:12" ht="12.75">
      <c r="B536">
        <v>2513</v>
      </c>
      <c r="C536" t="s">
        <v>639</v>
      </c>
      <c r="D536" t="s">
        <v>131</v>
      </c>
      <c r="E536" t="s">
        <v>923</v>
      </c>
      <c r="F536" t="s">
        <v>2274</v>
      </c>
      <c r="G536" s="475" t="s">
        <v>2275</v>
      </c>
      <c r="H536" s="475" t="s">
        <v>1450</v>
      </c>
      <c r="I536">
        <v>8504</v>
      </c>
      <c r="J536" t="s">
        <v>2276</v>
      </c>
      <c r="L536">
        <v>941000015528965</v>
      </c>
    </row>
    <row r="537" spans="2:12" ht="12.75">
      <c r="B537">
        <v>2514</v>
      </c>
      <c r="C537" t="s">
        <v>371</v>
      </c>
      <c r="D537" t="s">
        <v>2277</v>
      </c>
      <c r="E537" t="s">
        <v>886</v>
      </c>
      <c r="F537" t="s">
        <v>2042</v>
      </c>
      <c r="G537" s="475" t="s">
        <v>1816</v>
      </c>
      <c r="H537" s="475" t="s">
        <v>2278</v>
      </c>
      <c r="I537" t="s">
        <v>835</v>
      </c>
      <c r="J537" t="s">
        <v>2279</v>
      </c>
      <c r="L537">
        <v>276093400425600</v>
      </c>
    </row>
    <row r="538" spans="2:12" ht="12.75">
      <c r="B538">
        <v>2516</v>
      </c>
      <c r="C538" t="s">
        <v>2280</v>
      </c>
      <c r="D538" t="s">
        <v>126</v>
      </c>
      <c r="E538" t="s">
        <v>886</v>
      </c>
      <c r="F538" t="s">
        <v>286</v>
      </c>
      <c r="G538" s="475" t="s">
        <v>2281</v>
      </c>
      <c r="H538" s="475" t="s">
        <v>2282</v>
      </c>
      <c r="I538" t="s">
        <v>835</v>
      </c>
      <c r="J538" t="s">
        <v>2283</v>
      </c>
      <c r="L538">
        <v>276098104915042</v>
      </c>
    </row>
    <row r="539" spans="2:12" ht="12.75">
      <c r="B539">
        <v>2517</v>
      </c>
      <c r="C539" t="s">
        <v>2284</v>
      </c>
      <c r="D539" t="s">
        <v>123</v>
      </c>
      <c r="E539" t="s">
        <v>886</v>
      </c>
      <c r="F539" t="s">
        <v>343</v>
      </c>
      <c r="G539" s="475" t="s">
        <v>2190</v>
      </c>
      <c r="H539" s="475" t="s">
        <v>2285</v>
      </c>
      <c r="I539" t="s">
        <v>835</v>
      </c>
      <c r="J539" t="s">
        <v>2286</v>
      </c>
      <c r="L539">
        <v>276098104753118</v>
      </c>
    </row>
    <row r="540" spans="2:12" ht="12.75">
      <c r="B540">
        <v>2518</v>
      </c>
      <c r="C540" t="s">
        <v>2053</v>
      </c>
      <c r="D540" t="s">
        <v>172</v>
      </c>
      <c r="E540" t="s">
        <v>914</v>
      </c>
      <c r="F540" t="s">
        <v>2287</v>
      </c>
      <c r="G540" s="475" t="s">
        <v>2014</v>
      </c>
      <c r="H540" s="475" t="s">
        <v>2288</v>
      </c>
      <c r="I540">
        <v>8908</v>
      </c>
      <c r="J540" t="s">
        <v>1901</v>
      </c>
      <c r="L540">
        <v>756098100589926</v>
      </c>
    </row>
    <row r="541" spans="2:12" ht="12.75">
      <c r="B541">
        <v>2519</v>
      </c>
      <c r="C541" t="s">
        <v>459</v>
      </c>
      <c r="D541" t="s">
        <v>752</v>
      </c>
      <c r="E541" t="s">
        <v>886</v>
      </c>
      <c r="F541" t="s">
        <v>691</v>
      </c>
      <c r="G541" s="475" t="s">
        <v>2289</v>
      </c>
      <c r="H541" s="475" t="s">
        <v>2290</v>
      </c>
      <c r="I541" t="s">
        <v>835</v>
      </c>
      <c r="J541" t="s">
        <v>1012</v>
      </c>
      <c r="L541">
        <v>276095610123297</v>
      </c>
    </row>
    <row r="542" spans="2:12" ht="12.75">
      <c r="B542">
        <v>2520</v>
      </c>
      <c r="C542" t="s">
        <v>2291</v>
      </c>
      <c r="D542" t="s">
        <v>126</v>
      </c>
      <c r="E542" t="s">
        <v>886</v>
      </c>
      <c r="F542" t="s">
        <v>1419</v>
      </c>
      <c r="G542" s="475" t="s">
        <v>2292</v>
      </c>
      <c r="H542" s="475" t="s">
        <v>1229</v>
      </c>
      <c r="I542" t="s">
        <v>835</v>
      </c>
      <c r="J542" t="s">
        <v>293</v>
      </c>
      <c r="L542">
        <v>276098104120919</v>
      </c>
    </row>
    <row r="543" spans="2:12" ht="12.75">
      <c r="B543">
        <v>2521</v>
      </c>
      <c r="C543" t="s">
        <v>2293</v>
      </c>
      <c r="D543" t="s">
        <v>126</v>
      </c>
      <c r="E543" t="s">
        <v>886</v>
      </c>
      <c r="F543" t="s">
        <v>2294</v>
      </c>
      <c r="G543" s="475" t="s">
        <v>2295</v>
      </c>
      <c r="H543" s="475" t="s">
        <v>2296</v>
      </c>
      <c r="I543" t="s">
        <v>835</v>
      </c>
      <c r="J543" t="s">
        <v>1744</v>
      </c>
      <c r="L543">
        <v>276096900304744</v>
      </c>
    </row>
    <row r="544" spans="2:12" ht="12.75">
      <c r="B544">
        <v>2522</v>
      </c>
      <c r="C544" t="s">
        <v>305</v>
      </c>
      <c r="D544" t="s">
        <v>126</v>
      </c>
      <c r="E544" t="s">
        <v>886</v>
      </c>
      <c r="F544" t="s">
        <v>359</v>
      </c>
      <c r="G544" s="475" t="s">
        <v>2297</v>
      </c>
      <c r="H544" s="475" t="s">
        <v>2298</v>
      </c>
      <c r="I544" t="s">
        <v>835</v>
      </c>
      <c r="J544" t="s">
        <v>1744</v>
      </c>
      <c r="L544">
        <v>276096909283081</v>
      </c>
    </row>
    <row r="545" spans="2:12" ht="12.75">
      <c r="B545">
        <v>2523</v>
      </c>
      <c r="C545" t="s">
        <v>2299</v>
      </c>
      <c r="D545" t="s">
        <v>126</v>
      </c>
      <c r="E545" t="s">
        <v>886</v>
      </c>
      <c r="F545" t="s">
        <v>234</v>
      </c>
      <c r="G545" s="475" t="s">
        <v>891</v>
      </c>
      <c r="H545" s="475" t="s">
        <v>2300</v>
      </c>
      <c r="I545" t="s">
        <v>835</v>
      </c>
      <c r="J545" t="s">
        <v>610</v>
      </c>
      <c r="L545">
        <v>276096909186609</v>
      </c>
    </row>
    <row r="546" spans="2:12" ht="12.75">
      <c r="B546">
        <v>2524</v>
      </c>
      <c r="C546" t="s">
        <v>137</v>
      </c>
      <c r="D546" t="s">
        <v>126</v>
      </c>
      <c r="E546" t="s">
        <v>886</v>
      </c>
      <c r="F546" t="s">
        <v>2301</v>
      </c>
      <c r="G546" s="475" t="s">
        <v>891</v>
      </c>
      <c r="H546" s="475" t="s">
        <v>2302</v>
      </c>
      <c r="I546" t="s">
        <v>835</v>
      </c>
      <c r="J546" t="s">
        <v>610</v>
      </c>
      <c r="L546">
        <v>276096909184382</v>
      </c>
    </row>
    <row r="547" spans="2:12" ht="12.75">
      <c r="B547">
        <v>2525</v>
      </c>
      <c r="C547" t="s">
        <v>2303</v>
      </c>
      <c r="D547" t="s">
        <v>126</v>
      </c>
      <c r="E547" t="s">
        <v>886</v>
      </c>
      <c r="F547" t="s">
        <v>682</v>
      </c>
      <c r="G547" s="475" t="s">
        <v>2079</v>
      </c>
      <c r="H547" s="475" t="s">
        <v>2259</v>
      </c>
      <c r="I547" t="s">
        <v>835</v>
      </c>
      <c r="J547" t="s">
        <v>798</v>
      </c>
      <c r="L547">
        <v>276096901178403</v>
      </c>
    </row>
    <row r="548" spans="2:12" ht="12.75">
      <c r="B548">
        <v>2526</v>
      </c>
      <c r="C548" t="s">
        <v>611</v>
      </c>
      <c r="D548" t="s">
        <v>131</v>
      </c>
      <c r="E548" t="s">
        <v>886</v>
      </c>
      <c r="F548" t="s">
        <v>286</v>
      </c>
      <c r="G548" s="475" t="s">
        <v>2304</v>
      </c>
      <c r="H548" s="475" t="s">
        <v>2305</v>
      </c>
      <c r="I548" t="s">
        <v>835</v>
      </c>
      <c r="J548" t="s">
        <v>2306</v>
      </c>
      <c r="L548">
        <v>276093400467549</v>
      </c>
    </row>
    <row r="549" spans="2:12" ht="12.75">
      <c r="B549">
        <v>2528</v>
      </c>
      <c r="C549" t="s">
        <v>354</v>
      </c>
      <c r="D549" t="s">
        <v>240</v>
      </c>
      <c r="E549" t="s">
        <v>923</v>
      </c>
      <c r="F549" t="s">
        <v>446</v>
      </c>
      <c r="G549" s="475" t="s">
        <v>2307</v>
      </c>
      <c r="H549" s="475" t="s">
        <v>1115</v>
      </c>
      <c r="I549">
        <v>8011</v>
      </c>
      <c r="J549" t="s">
        <v>604</v>
      </c>
      <c r="L549">
        <v>276097202364157</v>
      </c>
    </row>
    <row r="550" spans="2:12" ht="12.75">
      <c r="B550">
        <v>2529</v>
      </c>
      <c r="C550" t="s">
        <v>2308</v>
      </c>
      <c r="D550" t="s">
        <v>126</v>
      </c>
      <c r="E550" t="s">
        <v>886</v>
      </c>
      <c r="F550" t="s">
        <v>547</v>
      </c>
      <c r="G550" s="475" t="s">
        <v>2309</v>
      </c>
      <c r="H550" s="475" t="s">
        <v>2310</v>
      </c>
      <c r="I550" t="s">
        <v>835</v>
      </c>
      <c r="L550">
        <v>276098106161728</v>
      </c>
    </row>
    <row r="551" spans="2:12" ht="12.75">
      <c r="B551">
        <v>2530</v>
      </c>
      <c r="C551" t="s">
        <v>282</v>
      </c>
      <c r="D551" t="s">
        <v>1015</v>
      </c>
      <c r="E551" t="s">
        <v>899</v>
      </c>
      <c r="F551" t="s">
        <v>2311</v>
      </c>
      <c r="G551" s="475" t="s">
        <v>2312</v>
      </c>
      <c r="H551" s="475" t="s">
        <v>2313</v>
      </c>
      <c r="I551">
        <v>7703</v>
      </c>
      <c r="J551" t="s">
        <v>2314</v>
      </c>
      <c r="L551">
        <v>953000005261853</v>
      </c>
    </row>
    <row r="552" spans="2:12" ht="12.75">
      <c r="B552">
        <v>2532</v>
      </c>
      <c r="C552" t="s">
        <v>2315</v>
      </c>
      <c r="D552" t="s">
        <v>214</v>
      </c>
      <c r="E552" t="s">
        <v>886</v>
      </c>
      <c r="F552" t="s">
        <v>834</v>
      </c>
      <c r="G552" s="475" t="s">
        <v>2043</v>
      </c>
      <c r="H552" s="475" t="s">
        <v>2316</v>
      </c>
      <c r="I552" t="s">
        <v>835</v>
      </c>
      <c r="J552" t="s">
        <v>2317</v>
      </c>
      <c r="L552">
        <v>276098106002474</v>
      </c>
    </row>
    <row r="553" spans="2:12" ht="12.75">
      <c r="B553">
        <v>2533</v>
      </c>
      <c r="C553" t="s">
        <v>339</v>
      </c>
      <c r="D553" t="s">
        <v>214</v>
      </c>
      <c r="E553" t="s">
        <v>886</v>
      </c>
      <c r="F553" t="s">
        <v>242</v>
      </c>
      <c r="G553" s="475" t="s">
        <v>2318</v>
      </c>
      <c r="H553" s="475" t="s">
        <v>2319</v>
      </c>
      <c r="I553" t="s">
        <v>835</v>
      </c>
      <c r="J553" t="s">
        <v>2320</v>
      </c>
      <c r="L553">
        <v>276098104058859</v>
      </c>
    </row>
    <row r="554" spans="2:12" ht="12.75">
      <c r="B554">
        <v>2534</v>
      </c>
      <c r="C554" t="s">
        <v>150</v>
      </c>
      <c r="D554" t="s">
        <v>214</v>
      </c>
      <c r="E554" t="s">
        <v>886</v>
      </c>
      <c r="F554" t="s">
        <v>2321</v>
      </c>
      <c r="G554" s="475" t="s">
        <v>2322</v>
      </c>
      <c r="H554" s="475" t="s">
        <v>2323</v>
      </c>
      <c r="I554" t="s">
        <v>835</v>
      </c>
      <c r="J554" t="s">
        <v>2320</v>
      </c>
      <c r="L554">
        <v>276098102612039</v>
      </c>
    </row>
    <row r="555" spans="2:12" ht="12.75">
      <c r="B555">
        <v>2535</v>
      </c>
      <c r="C555" t="s">
        <v>2324</v>
      </c>
      <c r="D555" t="s">
        <v>2325</v>
      </c>
      <c r="E555" t="s">
        <v>931</v>
      </c>
      <c r="F555" t="s">
        <v>343</v>
      </c>
      <c r="G555" s="475" t="s">
        <v>2326</v>
      </c>
      <c r="H555" s="475" t="s">
        <v>1005</v>
      </c>
      <c r="I555" t="s">
        <v>836</v>
      </c>
      <c r="J555" t="s">
        <v>667</v>
      </c>
      <c r="L555">
        <v>276090010816429</v>
      </c>
    </row>
    <row r="556" spans="2:12" ht="12.75">
      <c r="B556">
        <v>2536</v>
      </c>
      <c r="C556" t="s">
        <v>155</v>
      </c>
      <c r="D556" t="s">
        <v>126</v>
      </c>
      <c r="E556" t="s">
        <v>886</v>
      </c>
      <c r="F556" t="s">
        <v>176</v>
      </c>
      <c r="G556" s="475" t="s">
        <v>1242</v>
      </c>
      <c r="H556" s="475" t="s">
        <v>2327</v>
      </c>
      <c r="I556" t="s">
        <v>835</v>
      </c>
      <c r="J556" t="s">
        <v>2328</v>
      </c>
      <c r="L556">
        <v>276094180056687</v>
      </c>
    </row>
    <row r="557" spans="2:12" ht="12.75">
      <c r="B557">
        <v>2537</v>
      </c>
      <c r="C557" t="s">
        <v>571</v>
      </c>
      <c r="D557" t="s">
        <v>126</v>
      </c>
      <c r="E557" t="s">
        <v>886</v>
      </c>
      <c r="F557" t="s">
        <v>2329</v>
      </c>
      <c r="G557" s="475" t="s">
        <v>2330</v>
      </c>
      <c r="H557" s="475" t="s">
        <v>2331</v>
      </c>
      <c r="I557" t="s">
        <v>835</v>
      </c>
      <c r="J557" t="s">
        <v>2328</v>
      </c>
      <c r="L557">
        <v>276096909229314</v>
      </c>
    </row>
    <row r="558" spans="2:12" ht="12.75">
      <c r="B558">
        <v>2538</v>
      </c>
      <c r="C558" t="s">
        <v>132</v>
      </c>
      <c r="D558" t="s">
        <v>103</v>
      </c>
      <c r="E558" t="s">
        <v>886</v>
      </c>
      <c r="F558" t="s">
        <v>767</v>
      </c>
      <c r="G558" s="475" t="s">
        <v>2332</v>
      </c>
      <c r="H558" s="475" t="s">
        <v>1418</v>
      </c>
      <c r="I558" t="s">
        <v>835</v>
      </c>
      <c r="J558" t="s">
        <v>432</v>
      </c>
      <c r="L558">
        <v>276098104446719</v>
      </c>
    </row>
    <row r="559" spans="2:12" ht="12.75">
      <c r="B559">
        <v>2539</v>
      </c>
      <c r="C559" t="s">
        <v>2333</v>
      </c>
      <c r="D559" t="s">
        <v>126</v>
      </c>
      <c r="E559" t="s">
        <v>886</v>
      </c>
      <c r="F559" t="s">
        <v>2334</v>
      </c>
      <c r="G559" s="475" t="s">
        <v>2120</v>
      </c>
      <c r="H559" s="475" t="s">
        <v>1613</v>
      </c>
      <c r="I559" t="s">
        <v>835</v>
      </c>
      <c r="J559" t="s">
        <v>2335</v>
      </c>
      <c r="L559">
        <v>276098104661556</v>
      </c>
    </row>
    <row r="560" spans="2:12" ht="12.75">
      <c r="B560">
        <v>2542</v>
      </c>
      <c r="C560" t="s">
        <v>2147</v>
      </c>
      <c r="D560" t="s">
        <v>172</v>
      </c>
      <c r="E560" t="s">
        <v>886</v>
      </c>
      <c r="F560" t="s">
        <v>1835</v>
      </c>
      <c r="G560" s="475"/>
      <c r="H560" s="475" t="s">
        <v>1613</v>
      </c>
      <c r="I560" t="s">
        <v>835</v>
      </c>
      <c r="J560" t="s">
        <v>2336</v>
      </c>
      <c r="L560">
        <v>276098200065546</v>
      </c>
    </row>
    <row r="561" spans="2:12" ht="12.75">
      <c r="B561">
        <v>2543</v>
      </c>
      <c r="C561" t="s">
        <v>2337</v>
      </c>
      <c r="D561" t="s">
        <v>131</v>
      </c>
      <c r="E561" t="s">
        <v>1876</v>
      </c>
      <c r="F561" t="s">
        <v>2338</v>
      </c>
      <c r="G561" s="475"/>
      <c r="H561" s="475" t="s">
        <v>1331</v>
      </c>
      <c r="I561" t="s">
        <v>836</v>
      </c>
      <c r="L561">
        <v>900160000002103</v>
      </c>
    </row>
    <row r="562" spans="2:12" ht="12.75">
      <c r="B562">
        <v>2545</v>
      </c>
      <c r="C562" t="s">
        <v>220</v>
      </c>
      <c r="D562" t="s">
        <v>103</v>
      </c>
      <c r="E562" t="s">
        <v>899</v>
      </c>
      <c r="F562" t="s">
        <v>657</v>
      </c>
      <c r="G562" s="475" t="s">
        <v>2339</v>
      </c>
      <c r="H562" s="475" t="s">
        <v>1060</v>
      </c>
      <c r="I562">
        <v>6316</v>
      </c>
      <c r="J562" t="s">
        <v>658</v>
      </c>
      <c r="L562">
        <v>981100004073404</v>
      </c>
    </row>
    <row r="563" spans="2:12" ht="12.75">
      <c r="B563">
        <v>2548</v>
      </c>
      <c r="C563" t="s">
        <v>2308</v>
      </c>
      <c r="D563" t="s">
        <v>126</v>
      </c>
      <c r="E563" t="s">
        <v>886</v>
      </c>
      <c r="F563" t="s">
        <v>460</v>
      </c>
      <c r="G563" s="475" t="s">
        <v>2340</v>
      </c>
      <c r="H563" s="475" t="s">
        <v>1099</v>
      </c>
      <c r="I563" t="s">
        <v>835</v>
      </c>
      <c r="J563" t="s">
        <v>2341</v>
      </c>
      <c r="L563">
        <v>276093400431250</v>
      </c>
    </row>
    <row r="564" spans="2:12" ht="12.75">
      <c r="B564">
        <v>2549</v>
      </c>
      <c r="C564" t="s">
        <v>2342</v>
      </c>
      <c r="D564" t="s">
        <v>1985</v>
      </c>
      <c r="E564" t="s">
        <v>886</v>
      </c>
      <c r="F564" t="s">
        <v>1796</v>
      </c>
      <c r="G564" s="475" t="s">
        <v>2343</v>
      </c>
      <c r="H564" s="475" t="s">
        <v>2344</v>
      </c>
      <c r="I564" t="s">
        <v>835</v>
      </c>
      <c r="J564" t="s">
        <v>198</v>
      </c>
      <c r="L564">
        <v>276098104842711</v>
      </c>
    </row>
    <row r="565" spans="2:12" ht="12.75">
      <c r="B565">
        <v>2552</v>
      </c>
      <c r="C565" t="s">
        <v>2345</v>
      </c>
      <c r="D565" t="s">
        <v>103</v>
      </c>
      <c r="E565" t="s">
        <v>886</v>
      </c>
      <c r="F565" t="s">
        <v>263</v>
      </c>
      <c r="G565" s="475" t="s">
        <v>2346</v>
      </c>
      <c r="H565" s="475" t="s">
        <v>2347</v>
      </c>
      <c r="I565" t="s">
        <v>835</v>
      </c>
      <c r="J565" t="s">
        <v>1947</v>
      </c>
      <c r="L565">
        <v>276096100348440</v>
      </c>
    </row>
    <row r="566" spans="2:12" ht="12.75">
      <c r="B566">
        <v>2555</v>
      </c>
      <c r="C566" t="s">
        <v>2348</v>
      </c>
      <c r="D566" t="s">
        <v>185</v>
      </c>
      <c r="E566" t="s">
        <v>886</v>
      </c>
      <c r="F566" t="s">
        <v>187</v>
      </c>
      <c r="G566" s="475" t="s">
        <v>2349</v>
      </c>
      <c r="H566" s="475" t="s">
        <v>1081</v>
      </c>
      <c r="I566" t="s">
        <v>835</v>
      </c>
      <c r="J566" t="s">
        <v>2350</v>
      </c>
      <c r="L566">
        <v>276094501021450</v>
      </c>
    </row>
    <row r="567" spans="2:12" ht="12.75">
      <c r="B567">
        <v>2556</v>
      </c>
      <c r="C567" t="s">
        <v>2351</v>
      </c>
      <c r="D567" t="s">
        <v>449</v>
      </c>
      <c r="E567" t="s">
        <v>886</v>
      </c>
      <c r="F567" t="s">
        <v>269</v>
      </c>
      <c r="G567" s="475" t="s">
        <v>2352</v>
      </c>
      <c r="H567" s="475" t="s">
        <v>2353</v>
      </c>
      <c r="I567" t="s">
        <v>835</v>
      </c>
      <c r="J567" t="s">
        <v>270</v>
      </c>
      <c r="L567">
        <v>276098104925434</v>
      </c>
    </row>
    <row r="568" spans="2:12" ht="12.75">
      <c r="B568">
        <v>2557</v>
      </c>
      <c r="C568" t="s">
        <v>2354</v>
      </c>
      <c r="D568" t="s">
        <v>2355</v>
      </c>
      <c r="E568" t="s">
        <v>1876</v>
      </c>
      <c r="F568" t="s">
        <v>398</v>
      </c>
      <c r="G568" s="475" t="s">
        <v>2356</v>
      </c>
      <c r="H568" s="475" t="s">
        <v>2357</v>
      </c>
      <c r="I568" t="s">
        <v>836</v>
      </c>
      <c r="J568" t="s">
        <v>2358</v>
      </c>
      <c r="L568">
        <v>276093400537192</v>
      </c>
    </row>
    <row r="569" spans="2:12" ht="12.75">
      <c r="B569">
        <v>2558</v>
      </c>
      <c r="C569" t="s">
        <v>515</v>
      </c>
      <c r="D569" t="s">
        <v>472</v>
      </c>
      <c r="E569" t="s">
        <v>886</v>
      </c>
      <c r="F569" t="s">
        <v>327</v>
      </c>
      <c r="G569" s="475" t="s">
        <v>2359</v>
      </c>
      <c r="H569" s="475" t="s">
        <v>1036</v>
      </c>
      <c r="I569" t="s">
        <v>835</v>
      </c>
      <c r="J569" t="s">
        <v>358</v>
      </c>
      <c r="L569">
        <v>276098104939004</v>
      </c>
    </row>
    <row r="570" spans="2:12" ht="12.75">
      <c r="B570">
        <v>2559</v>
      </c>
      <c r="C570" t="s">
        <v>2360</v>
      </c>
      <c r="D570" t="s">
        <v>1015</v>
      </c>
      <c r="E570" t="s">
        <v>886</v>
      </c>
      <c r="F570" t="s">
        <v>182</v>
      </c>
      <c r="G570" s="475"/>
      <c r="H570" s="475" t="s">
        <v>2361</v>
      </c>
      <c r="I570" t="s">
        <v>835</v>
      </c>
      <c r="J570" t="s">
        <v>2362</v>
      </c>
      <c r="L570">
        <v>276098104932830</v>
      </c>
    </row>
    <row r="571" spans="2:12" ht="12.75">
      <c r="B571">
        <v>2561</v>
      </c>
      <c r="C571" t="s">
        <v>540</v>
      </c>
      <c r="D571" t="s">
        <v>567</v>
      </c>
      <c r="E571" t="s">
        <v>914</v>
      </c>
      <c r="F571" t="s">
        <v>335</v>
      </c>
      <c r="G571" s="475" t="s">
        <v>2363</v>
      </c>
      <c r="H571" s="475" t="s">
        <v>2074</v>
      </c>
      <c r="I571">
        <v>7609</v>
      </c>
      <c r="J571" t="s">
        <v>2364</v>
      </c>
      <c r="L571">
        <v>276098102962776</v>
      </c>
    </row>
    <row r="572" spans="2:12" ht="12.75">
      <c r="B572">
        <v>2563</v>
      </c>
      <c r="C572" t="s">
        <v>2365</v>
      </c>
      <c r="D572" t="s">
        <v>103</v>
      </c>
      <c r="E572" t="s">
        <v>886</v>
      </c>
      <c r="F572" t="s">
        <v>2366</v>
      </c>
      <c r="G572" s="475" t="s">
        <v>2367</v>
      </c>
      <c r="H572" s="475" t="s">
        <v>1001</v>
      </c>
      <c r="I572" t="s">
        <v>835</v>
      </c>
      <c r="J572" t="s">
        <v>2368</v>
      </c>
      <c r="L572">
        <v>250269801695330</v>
      </c>
    </row>
    <row r="573" spans="2:12" ht="12.75">
      <c r="B573">
        <v>2564</v>
      </c>
      <c r="C573" t="s">
        <v>2369</v>
      </c>
      <c r="D573" t="s">
        <v>126</v>
      </c>
      <c r="E573" t="s">
        <v>886</v>
      </c>
      <c r="F573" t="s">
        <v>2370</v>
      </c>
      <c r="G573" s="475" t="s">
        <v>1857</v>
      </c>
      <c r="H573" s="475" t="s">
        <v>1438</v>
      </c>
      <c r="I573" t="s">
        <v>835</v>
      </c>
      <c r="J573" t="s">
        <v>2371</v>
      </c>
      <c r="L573">
        <v>250269606017208</v>
      </c>
    </row>
    <row r="574" spans="2:12" ht="12.75">
      <c r="B574">
        <v>2565</v>
      </c>
      <c r="C574" t="s">
        <v>2372</v>
      </c>
      <c r="D574" t="s">
        <v>172</v>
      </c>
      <c r="E574" t="s">
        <v>886</v>
      </c>
      <c r="F574" t="s">
        <v>1699</v>
      </c>
      <c r="G574" s="475" t="s">
        <v>2373</v>
      </c>
      <c r="H574" s="475" t="s">
        <v>913</v>
      </c>
      <c r="I574" t="s">
        <v>835</v>
      </c>
      <c r="J574" t="s">
        <v>2374</v>
      </c>
      <c r="L574">
        <v>250269802177898</v>
      </c>
    </row>
    <row r="575" spans="2:12" ht="12.75">
      <c r="B575">
        <v>2566</v>
      </c>
      <c r="C575" t="s">
        <v>2375</v>
      </c>
      <c r="D575" t="s">
        <v>543</v>
      </c>
      <c r="E575" t="s">
        <v>886</v>
      </c>
      <c r="F575" t="s">
        <v>2376</v>
      </c>
      <c r="G575" s="475" t="s">
        <v>2377</v>
      </c>
      <c r="H575" s="475" t="s">
        <v>2378</v>
      </c>
      <c r="I575" t="s">
        <v>835</v>
      </c>
      <c r="J575" t="s">
        <v>2379</v>
      </c>
      <c r="L575">
        <v>250269604678727</v>
      </c>
    </row>
    <row r="576" spans="2:12" ht="12.75">
      <c r="B576">
        <v>2567</v>
      </c>
      <c r="C576" t="s">
        <v>2380</v>
      </c>
      <c r="D576" t="s">
        <v>2381</v>
      </c>
      <c r="E576" t="s">
        <v>886</v>
      </c>
      <c r="F576" t="s">
        <v>2382</v>
      </c>
      <c r="G576" s="475" t="s">
        <v>2383</v>
      </c>
      <c r="H576" s="475" t="s">
        <v>2384</v>
      </c>
      <c r="I576" t="s">
        <v>835</v>
      </c>
      <c r="J576" t="s">
        <v>2385</v>
      </c>
      <c r="L576">
        <v>250268601002902</v>
      </c>
    </row>
    <row r="577" spans="2:12" ht="12.75">
      <c r="B577">
        <v>2568</v>
      </c>
      <c r="C577" t="s">
        <v>2386</v>
      </c>
      <c r="D577" t="s">
        <v>122</v>
      </c>
      <c r="E577" t="s">
        <v>928</v>
      </c>
      <c r="F577" t="s">
        <v>118</v>
      </c>
      <c r="G577" s="475" t="s">
        <v>2387</v>
      </c>
      <c r="H577" s="475" t="s">
        <v>2384</v>
      </c>
      <c r="I577">
        <v>20001</v>
      </c>
      <c r="J577" t="s">
        <v>2388</v>
      </c>
      <c r="L577">
        <v>250269604308425</v>
      </c>
    </row>
    <row r="578" spans="2:12" ht="12.75">
      <c r="B578">
        <v>2569</v>
      </c>
      <c r="C578" t="s">
        <v>2389</v>
      </c>
      <c r="D578" t="s">
        <v>741</v>
      </c>
      <c r="E578" t="s">
        <v>886</v>
      </c>
      <c r="F578" t="s">
        <v>2390</v>
      </c>
      <c r="G578" s="475" t="s">
        <v>2391</v>
      </c>
      <c r="H578" s="475" t="s">
        <v>2392</v>
      </c>
      <c r="I578" t="s">
        <v>835</v>
      </c>
      <c r="J578" t="s">
        <v>2374</v>
      </c>
      <c r="L578">
        <v>250268710068955</v>
      </c>
    </row>
    <row r="579" spans="2:12" ht="12.75">
      <c r="B579">
        <v>2570</v>
      </c>
      <c r="C579" t="s">
        <v>2393</v>
      </c>
      <c r="D579" t="s">
        <v>746</v>
      </c>
      <c r="E579" t="s">
        <v>886</v>
      </c>
      <c r="F579" t="s">
        <v>2394</v>
      </c>
      <c r="G579" s="475" t="s">
        <v>2395</v>
      </c>
      <c r="H579" s="475" t="s">
        <v>2396</v>
      </c>
      <c r="I579" t="s">
        <v>835</v>
      </c>
      <c r="J579" t="s">
        <v>2397</v>
      </c>
      <c r="L579">
        <v>250268500132008</v>
      </c>
    </row>
    <row r="580" spans="2:12" ht="12.75">
      <c r="B580">
        <v>2571</v>
      </c>
      <c r="C580" t="s">
        <v>385</v>
      </c>
      <c r="D580" t="s">
        <v>353</v>
      </c>
      <c r="E580" t="s">
        <v>886</v>
      </c>
      <c r="F580" t="s">
        <v>2398</v>
      </c>
      <c r="G580" s="475" t="s">
        <v>2399</v>
      </c>
      <c r="H580" s="475" t="s">
        <v>2400</v>
      </c>
      <c r="I580" t="s">
        <v>835</v>
      </c>
      <c r="J580" t="s">
        <v>201</v>
      </c>
      <c r="L580">
        <v>276094500448785</v>
      </c>
    </row>
    <row r="581" spans="2:12" ht="12.75">
      <c r="B581">
        <v>2572</v>
      </c>
      <c r="C581" t="s">
        <v>119</v>
      </c>
      <c r="D581" t="s">
        <v>123</v>
      </c>
      <c r="E581" t="s">
        <v>886</v>
      </c>
      <c r="F581" t="s">
        <v>621</v>
      </c>
      <c r="G581" s="475" t="s">
        <v>2401</v>
      </c>
      <c r="H581" s="475" t="s">
        <v>1962</v>
      </c>
      <c r="I581" t="s">
        <v>835</v>
      </c>
      <c r="J581" t="s">
        <v>2402</v>
      </c>
      <c r="L581">
        <v>276098104093620</v>
      </c>
    </row>
    <row r="582" spans="2:12" ht="12.75">
      <c r="B582">
        <v>2573</v>
      </c>
      <c r="C582" t="s">
        <v>783</v>
      </c>
      <c r="D582" t="s">
        <v>172</v>
      </c>
      <c r="E582" t="s">
        <v>886</v>
      </c>
      <c r="F582" t="s">
        <v>430</v>
      </c>
      <c r="G582" s="475" t="s">
        <v>2403</v>
      </c>
      <c r="H582" s="475" t="s">
        <v>2404</v>
      </c>
      <c r="I582" t="s">
        <v>835</v>
      </c>
      <c r="L582">
        <v>276094501064761</v>
      </c>
    </row>
    <row r="583" spans="2:12" ht="12.75">
      <c r="B583">
        <v>2574</v>
      </c>
      <c r="C583" t="s">
        <v>2405</v>
      </c>
      <c r="D583" t="s">
        <v>172</v>
      </c>
      <c r="E583" t="s">
        <v>886</v>
      </c>
      <c r="F583" t="s">
        <v>423</v>
      </c>
      <c r="G583" s="475" t="s">
        <v>2281</v>
      </c>
      <c r="H583" s="475" t="s">
        <v>1874</v>
      </c>
      <c r="I583" t="s">
        <v>835</v>
      </c>
      <c r="J583" t="s">
        <v>2406</v>
      </c>
      <c r="L583">
        <v>276098104601427</v>
      </c>
    </row>
    <row r="584" spans="2:12" ht="12.75">
      <c r="B584">
        <v>2575</v>
      </c>
      <c r="C584" t="s">
        <v>296</v>
      </c>
      <c r="E584" t="s">
        <v>931</v>
      </c>
      <c r="F584" t="s">
        <v>342</v>
      </c>
      <c r="G584" s="475" t="s">
        <v>2407</v>
      </c>
      <c r="H584" s="475" t="s">
        <v>2408</v>
      </c>
      <c r="I584">
        <v>8216</v>
      </c>
      <c r="J584" t="s">
        <v>2409</v>
      </c>
      <c r="L584">
        <v>276098104935164</v>
      </c>
    </row>
    <row r="585" spans="2:12" ht="12.75">
      <c r="B585">
        <v>2576</v>
      </c>
      <c r="C585" t="s">
        <v>655</v>
      </c>
      <c r="D585" t="s">
        <v>462</v>
      </c>
      <c r="E585" t="s">
        <v>903</v>
      </c>
      <c r="F585" t="s">
        <v>187</v>
      </c>
      <c r="G585" s="475" t="s">
        <v>2410</v>
      </c>
      <c r="H585" s="475" t="s">
        <v>1189</v>
      </c>
      <c r="I585">
        <v>8219</v>
      </c>
      <c r="J585" t="s">
        <v>1559</v>
      </c>
      <c r="L585">
        <v>276098106089058</v>
      </c>
    </row>
    <row r="586" spans="2:12" ht="12.75">
      <c r="B586">
        <v>2577</v>
      </c>
      <c r="C586" t="s">
        <v>803</v>
      </c>
      <c r="D586" t="s">
        <v>472</v>
      </c>
      <c r="E586" t="s">
        <v>886</v>
      </c>
      <c r="F586" t="s">
        <v>467</v>
      </c>
      <c r="G586" s="475" t="s">
        <v>2411</v>
      </c>
      <c r="H586" s="475" t="s">
        <v>981</v>
      </c>
      <c r="I586" t="s">
        <v>835</v>
      </c>
      <c r="J586" t="s">
        <v>733</v>
      </c>
      <c r="L586">
        <v>276096901025663</v>
      </c>
    </row>
    <row r="587" spans="2:12" ht="12.75">
      <c r="B587">
        <v>2580</v>
      </c>
      <c r="C587" t="s">
        <v>2412</v>
      </c>
      <c r="D587" t="s">
        <v>103</v>
      </c>
      <c r="E587" t="s">
        <v>886</v>
      </c>
      <c r="F587" t="s">
        <v>368</v>
      </c>
      <c r="G587" s="475" t="s">
        <v>2304</v>
      </c>
      <c r="H587" s="475" t="s">
        <v>2413</v>
      </c>
      <c r="I587" t="s">
        <v>835</v>
      </c>
      <c r="J587" t="s">
        <v>369</v>
      </c>
      <c r="L587">
        <v>208246000132064</v>
      </c>
    </row>
    <row r="588" spans="2:12" ht="12.75">
      <c r="B588">
        <v>2581</v>
      </c>
      <c r="C588" t="s">
        <v>2414</v>
      </c>
      <c r="D588" t="s">
        <v>122</v>
      </c>
      <c r="E588" t="s">
        <v>923</v>
      </c>
      <c r="F588" t="s">
        <v>518</v>
      </c>
      <c r="G588" s="475" t="s">
        <v>2415</v>
      </c>
      <c r="H588" s="475" t="s">
        <v>2316</v>
      </c>
      <c r="I588" t="s">
        <v>836</v>
      </c>
      <c r="J588" t="s">
        <v>2416</v>
      </c>
      <c r="L588">
        <v>276098104728440</v>
      </c>
    </row>
    <row r="589" spans="2:12" ht="12.75">
      <c r="B589">
        <v>2582</v>
      </c>
      <c r="C589" t="s">
        <v>2417</v>
      </c>
      <c r="D589" t="s">
        <v>103</v>
      </c>
      <c r="E589" t="s">
        <v>894</v>
      </c>
      <c r="F589" t="s">
        <v>2418</v>
      </c>
      <c r="G589" s="475"/>
      <c r="H589" s="475" t="s">
        <v>2300</v>
      </c>
      <c r="I589" t="s">
        <v>836</v>
      </c>
      <c r="J589" t="s">
        <v>181</v>
      </c>
      <c r="L589">
        <v>276096909271507</v>
      </c>
    </row>
    <row r="590" spans="2:12" ht="12.75">
      <c r="B590">
        <v>2583</v>
      </c>
      <c r="C590" t="s">
        <v>2419</v>
      </c>
      <c r="D590" t="s">
        <v>126</v>
      </c>
      <c r="E590" t="s">
        <v>894</v>
      </c>
      <c r="F590" t="s">
        <v>2420</v>
      </c>
      <c r="G590" s="475" t="s">
        <v>2421</v>
      </c>
      <c r="H590" s="475" t="s">
        <v>2422</v>
      </c>
      <c r="I590">
        <v>9301</v>
      </c>
      <c r="L590">
        <v>276098104922853</v>
      </c>
    </row>
    <row r="591" spans="2:12" ht="12.75">
      <c r="B591">
        <v>2587</v>
      </c>
      <c r="C591" t="s">
        <v>2423</v>
      </c>
      <c r="D591" t="s">
        <v>422</v>
      </c>
      <c r="E591" t="s">
        <v>1876</v>
      </c>
      <c r="F591" t="s">
        <v>2338</v>
      </c>
      <c r="G591" s="475" t="s">
        <v>2424</v>
      </c>
      <c r="H591" s="475" t="s">
        <v>2425</v>
      </c>
      <c r="I591" t="s">
        <v>836</v>
      </c>
      <c r="L591">
        <v>276093400538967</v>
      </c>
    </row>
    <row r="592" spans="2:12" ht="12.75">
      <c r="B592">
        <v>2588</v>
      </c>
      <c r="C592" t="s">
        <v>2426</v>
      </c>
      <c r="D592" t="s">
        <v>103</v>
      </c>
      <c r="E592" t="s">
        <v>886</v>
      </c>
      <c r="F592" t="s">
        <v>477</v>
      </c>
      <c r="G592" s="475" t="s">
        <v>2427</v>
      </c>
      <c r="H592" s="475" t="s">
        <v>2212</v>
      </c>
      <c r="I592" t="s">
        <v>835</v>
      </c>
      <c r="J592" t="s">
        <v>478</v>
      </c>
      <c r="L592">
        <v>276098104944999</v>
      </c>
    </row>
    <row r="593" spans="2:12" ht="12.75">
      <c r="B593">
        <v>2589</v>
      </c>
      <c r="C593" t="s">
        <v>2428</v>
      </c>
      <c r="D593" t="s">
        <v>126</v>
      </c>
      <c r="E593" t="s">
        <v>886</v>
      </c>
      <c r="F593" t="s">
        <v>307</v>
      </c>
      <c r="G593" s="475" t="s">
        <v>2429</v>
      </c>
      <c r="H593" s="475" t="s">
        <v>2430</v>
      </c>
      <c r="I593" t="s">
        <v>835</v>
      </c>
      <c r="J593" t="s">
        <v>480</v>
      </c>
      <c r="L593">
        <v>276094100168617</v>
      </c>
    </row>
    <row r="594" spans="2:12" ht="12.75">
      <c r="B594">
        <v>2590</v>
      </c>
      <c r="C594" t="s">
        <v>2431</v>
      </c>
      <c r="D594" t="s">
        <v>320</v>
      </c>
      <c r="E594" t="s">
        <v>886</v>
      </c>
      <c r="F594" t="s">
        <v>1315</v>
      </c>
      <c r="G594" s="475" t="s">
        <v>2432</v>
      </c>
      <c r="H594" s="475" t="s">
        <v>2433</v>
      </c>
      <c r="I594" t="s">
        <v>835</v>
      </c>
      <c r="J594" t="s">
        <v>2434</v>
      </c>
      <c r="L594">
        <v>276098102795438</v>
      </c>
    </row>
    <row r="595" spans="2:12" ht="12.75">
      <c r="B595">
        <v>2591</v>
      </c>
      <c r="C595" t="s">
        <v>2435</v>
      </c>
      <c r="D595" t="s">
        <v>782</v>
      </c>
      <c r="E595" t="s">
        <v>886</v>
      </c>
      <c r="F595" t="s">
        <v>399</v>
      </c>
      <c r="G595" s="475" t="s">
        <v>2436</v>
      </c>
      <c r="H595" s="475" t="s">
        <v>2437</v>
      </c>
      <c r="I595" t="s">
        <v>835</v>
      </c>
      <c r="L595">
        <v>276098104768348</v>
      </c>
    </row>
    <row r="596" spans="2:12" ht="12.75">
      <c r="B596">
        <v>2592</v>
      </c>
      <c r="C596" t="s">
        <v>2438</v>
      </c>
      <c r="D596" t="s">
        <v>2439</v>
      </c>
      <c r="E596" t="s">
        <v>1876</v>
      </c>
      <c r="F596" t="s">
        <v>2440</v>
      </c>
      <c r="G596" s="475" t="s">
        <v>2441</v>
      </c>
      <c r="H596" s="475" t="s">
        <v>1271</v>
      </c>
      <c r="I596" t="s">
        <v>836</v>
      </c>
      <c r="J596" t="s">
        <v>2442</v>
      </c>
      <c r="L596">
        <v>968000002380076</v>
      </c>
    </row>
    <row r="597" spans="2:12" ht="12.75">
      <c r="B597">
        <v>2594</v>
      </c>
      <c r="C597" t="s">
        <v>119</v>
      </c>
      <c r="D597" t="s">
        <v>759</v>
      </c>
      <c r="E597" t="s">
        <v>886</v>
      </c>
      <c r="F597" t="s">
        <v>520</v>
      </c>
      <c r="G597" s="475" t="s">
        <v>2443</v>
      </c>
      <c r="H597" s="475" t="s">
        <v>2444</v>
      </c>
      <c r="I597" t="s">
        <v>835</v>
      </c>
      <c r="J597" t="s">
        <v>634</v>
      </c>
      <c r="L597">
        <v>945000001710095</v>
      </c>
    </row>
    <row r="598" spans="2:12" ht="12.75">
      <c r="B598">
        <v>2595</v>
      </c>
      <c r="C598" t="s">
        <v>2445</v>
      </c>
      <c r="D598" t="s">
        <v>123</v>
      </c>
      <c r="E598" t="s">
        <v>886</v>
      </c>
      <c r="F598" t="s">
        <v>433</v>
      </c>
      <c r="G598" s="475" t="s">
        <v>2446</v>
      </c>
      <c r="H598" s="475" t="s">
        <v>1727</v>
      </c>
      <c r="I598" t="s">
        <v>835</v>
      </c>
      <c r="J598" t="s">
        <v>586</v>
      </c>
      <c r="L598">
        <v>941000016087191</v>
      </c>
    </row>
    <row r="599" spans="2:12" ht="12.75">
      <c r="B599">
        <v>2597</v>
      </c>
      <c r="C599" t="s">
        <v>2447</v>
      </c>
      <c r="D599" t="s">
        <v>360</v>
      </c>
      <c r="E599" t="s">
        <v>886</v>
      </c>
      <c r="F599" t="s">
        <v>218</v>
      </c>
      <c r="G599" s="475" t="s">
        <v>2448</v>
      </c>
      <c r="H599" s="475" t="s">
        <v>2449</v>
      </c>
      <c r="I599" t="s">
        <v>835</v>
      </c>
      <c r="J599" t="s">
        <v>715</v>
      </c>
      <c r="L599">
        <v>276098104629456</v>
      </c>
    </row>
    <row r="600" spans="2:12" ht="12.75">
      <c r="B600">
        <v>2598</v>
      </c>
      <c r="C600" t="s">
        <v>2450</v>
      </c>
      <c r="D600" t="s">
        <v>2451</v>
      </c>
      <c r="E600" t="s">
        <v>894</v>
      </c>
      <c r="F600" t="s">
        <v>218</v>
      </c>
      <c r="G600" s="475" t="s">
        <v>2452</v>
      </c>
      <c r="H600" s="475" t="s">
        <v>1927</v>
      </c>
      <c r="I600">
        <v>128</v>
      </c>
      <c r="J600" t="s">
        <v>715</v>
      </c>
      <c r="L600">
        <v>985112005763565</v>
      </c>
    </row>
    <row r="601" spans="2:12" ht="12.75">
      <c r="B601">
        <v>2599</v>
      </c>
      <c r="C601" t="s">
        <v>2453</v>
      </c>
      <c r="D601" t="s">
        <v>103</v>
      </c>
      <c r="E601" t="s">
        <v>886</v>
      </c>
      <c r="F601" t="s">
        <v>187</v>
      </c>
      <c r="G601" s="475" t="s">
        <v>2160</v>
      </c>
      <c r="H601" s="475" t="s">
        <v>2454</v>
      </c>
      <c r="I601" t="s">
        <v>835</v>
      </c>
      <c r="J601" t="s">
        <v>715</v>
      </c>
      <c r="L601">
        <v>985112005942220</v>
      </c>
    </row>
    <row r="602" spans="2:12" ht="12.75">
      <c r="B602">
        <v>2600</v>
      </c>
      <c r="C602" t="s">
        <v>748</v>
      </c>
      <c r="D602" t="s">
        <v>2455</v>
      </c>
      <c r="E602" t="s">
        <v>914</v>
      </c>
      <c r="F602" t="s">
        <v>438</v>
      </c>
      <c r="G602" s="475" t="s">
        <v>2456</v>
      </c>
      <c r="H602" s="475" t="s">
        <v>2457</v>
      </c>
      <c r="I602" t="s">
        <v>836</v>
      </c>
      <c r="J602" t="s">
        <v>1654</v>
      </c>
      <c r="L602">
        <v>276096901218366</v>
      </c>
    </row>
    <row r="603" spans="2:12" ht="12.75">
      <c r="B603">
        <v>2601</v>
      </c>
      <c r="C603" t="s">
        <v>2458</v>
      </c>
      <c r="D603" t="s">
        <v>126</v>
      </c>
      <c r="E603" t="s">
        <v>886</v>
      </c>
      <c r="F603" t="s">
        <v>331</v>
      </c>
      <c r="G603" s="475" t="s">
        <v>2459</v>
      </c>
      <c r="H603" s="475" t="s">
        <v>2460</v>
      </c>
      <c r="I603" t="s">
        <v>835</v>
      </c>
      <c r="J603" t="s">
        <v>2461</v>
      </c>
      <c r="L603">
        <v>276097202107220</v>
      </c>
    </row>
    <row r="604" spans="2:12" ht="12.75">
      <c r="B604">
        <v>2602</v>
      </c>
      <c r="C604" t="s">
        <v>1984</v>
      </c>
      <c r="D604" t="s">
        <v>126</v>
      </c>
      <c r="E604" t="s">
        <v>886</v>
      </c>
      <c r="F604" t="s">
        <v>486</v>
      </c>
      <c r="G604" s="475" t="s">
        <v>2462</v>
      </c>
      <c r="H604" s="475" t="s">
        <v>2463</v>
      </c>
      <c r="I604" t="s">
        <v>835</v>
      </c>
      <c r="J604" t="s">
        <v>487</v>
      </c>
      <c r="L604">
        <v>276097202317011</v>
      </c>
    </row>
    <row r="605" spans="2:12" ht="12.75">
      <c r="B605">
        <v>2603</v>
      </c>
      <c r="C605" t="s">
        <v>2464</v>
      </c>
      <c r="D605" t="s">
        <v>126</v>
      </c>
      <c r="E605" t="s">
        <v>886</v>
      </c>
      <c r="F605" t="s">
        <v>438</v>
      </c>
      <c r="G605" s="475" t="s">
        <v>2465</v>
      </c>
      <c r="H605" s="475" t="s">
        <v>2466</v>
      </c>
      <c r="I605" t="s">
        <v>835</v>
      </c>
      <c r="J605" t="s">
        <v>2467</v>
      </c>
      <c r="L605">
        <v>276094180043677</v>
      </c>
    </row>
    <row r="606" spans="2:12" ht="12.75">
      <c r="B606">
        <v>2606</v>
      </c>
      <c r="C606" t="s">
        <v>571</v>
      </c>
      <c r="D606" t="s">
        <v>441</v>
      </c>
      <c r="E606" t="s">
        <v>931</v>
      </c>
      <c r="F606" t="s">
        <v>2468</v>
      </c>
      <c r="G606" s="475" t="s">
        <v>1183</v>
      </c>
      <c r="H606" s="475" t="s">
        <v>1179</v>
      </c>
      <c r="I606" t="s">
        <v>836</v>
      </c>
      <c r="J606" t="s">
        <v>2469</v>
      </c>
      <c r="L606">
        <v>276098102266925</v>
      </c>
    </row>
    <row r="607" spans="2:12" ht="12.75">
      <c r="B607">
        <v>2608</v>
      </c>
      <c r="C607" t="s">
        <v>2470</v>
      </c>
      <c r="D607" t="s">
        <v>103</v>
      </c>
      <c r="E607" t="s">
        <v>886</v>
      </c>
      <c r="F607" t="s">
        <v>247</v>
      </c>
      <c r="G607" s="475" t="s">
        <v>2471</v>
      </c>
      <c r="H607" s="475" t="s">
        <v>2472</v>
      </c>
      <c r="I607" t="s">
        <v>835</v>
      </c>
      <c r="J607" t="s">
        <v>522</v>
      </c>
      <c r="L607">
        <v>276096100349594</v>
      </c>
    </row>
    <row r="608" spans="2:12" ht="12.75">
      <c r="B608">
        <v>2609</v>
      </c>
      <c r="C608" t="s">
        <v>2473</v>
      </c>
      <c r="D608" t="s">
        <v>126</v>
      </c>
      <c r="E608" t="s">
        <v>886</v>
      </c>
      <c r="F608" t="s">
        <v>210</v>
      </c>
      <c r="G608" s="475" t="s">
        <v>2175</v>
      </c>
      <c r="H608" s="475" t="s">
        <v>2091</v>
      </c>
      <c r="I608" t="s">
        <v>835</v>
      </c>
      <c r="J608" t="s">
        <v>2474</v>
      </c>
      <c r="L608">
        <v>276097209051359</v>
      </c>
    </row>
    <row r="609" spans="2:12" ht="12.75">
      <c r="B609">
        <v>2610</v>
      </c>
      <c r="C609" t="s">
        <v>125</v>
      </c>
      <c r="D609" t="s">
        <v>103</v>
      </c>
      <c r="E609" t="s">
        <v>886</v>
      </c>
      <c r="F609" t="s">
        <v>403</v>
      </c>
      <c r="G609" s="475" t="s">
        <v>2475</v>
      </c>
      <c r="H609" s="475" t="s">
        <v>2476</v>
      </c>
      <c r="I609" t="s">
        <v>835</v>
      </c>
      <c r="J609" t="s">
        <v>188</v>
      </c>
      <c r="L609">
        <v>276094100138421</v>
      </c>
    </row>
    <row r="610" spans="2:12" ht="12.75">
      <c r="B610">
        <v>2611</v>
      </c>
      <c r="C610" t="s">
        <v>451</v>
      </c>
      <c r="D610" t="s">
        <v>229</v>
      </c>
      <c r="E610" t="s">
        <v>928</v>
      </c>
      <c r="F610" t="s">
        <v>321</v>
      </c>
      <c r="G610" s="475" t="s">
        <v>2477</v>
      </c>
      <c r="H610" s="475" t="s">
        <v>1758</v>
      </c>
      <c r="I610">
        <v>3320</v>
      </c>
      <c r="J610" t="s">
        <v>322</v>
      </c>
      <c r="L610">
        <v>276095610021001</v>
      </c>
    </row>
    <row r="611" spans="2:12" ht="12.75">
      <c r="B611">
        <v>2612</v>
      </c>
      <c r="C611" t="s">
        <v>2478</v>
      </c>
      <c r="D611" t="s">
        <v>2479</v>
      </c>
      <c r="E611" t="s">
        <v>1876</v>
      </c>
      <c r="F611" t="s">
        <v>409</v>
      </c>
      <c r="G611" s="475" t="s">
        <v>2480</v>
      </c>
      <c r="H611" s="475" t="s">
        <v>2481</v>
      </c>
      <c r="I611" t="s">
        <v>836</v>
      </c>
      <c r="J611" t="s">
        <v>201</v>
      </c>
      <c r="L611">
        <v>934000011142416</v>
      </c>
    </row>
    <row r="612" spans="2:12" ht="12.75">
      <c r="B612">
        <v>2613</v>
      </c>
      <c r="C612" t="s">
        <v>1309</v>
      </c>
      <c r="D612" t="s">
        <v>554</v>
      </c>
      <c r="E612" t="s">
        <v>1876</v>
      </c>
      <c r="F612" t="s">
        <v>286</v>
      </c>
      <c r="G612" s="475" t="s">
        <v>2482</v>
      </c>
      <c r="H612" s="475" t="s">
        <v>1650</v>
      </c>
      <c r="I612" t="s">
        <v>836</v>
      </c>
      <c r="J612" t="s">
        <v>444</v>
      </c>
      <c r="L612">
        <v>276098106107614</v>
      </c>
    </row>
    <row r="613" spans="2:12" ht="12.75">
      <c r="B613">
        <v>2615</v>
      </c>
      <c r="C613" t="s">
        <v>112</v>
      </c>
      <c r="D613" t="s">
        <v>103</v>
      </c>
      <c r="E613" t="s">
        <v>886</v>
      </c>
      <c r="F613" t="s">
        <v>547</v>
      </c>
      <c r="G613" s="475" t="s">
        <v>2483</v>
      </c>
      <c r="H613" s="475" t="s">
        <v>2484</v>
      </c>
      <c r="I613" t="s">
        <v>835</v>
      </c>
      <c r="J613" t="s">
        <v>2485</v>
      </c>
      <c r="L613">
        <v>0</v>
      </c>
    </row>
    <row r="614" spans="2:12" ht="12.75">
      <c r="B614">
        <v>2616</v>
      </c>
      <c r="C614" t="s">
        <v>2486</v>
      </c>
      <c r="D614" t="s">
        <v>2487</v>
      </c>
      <c r="E614" t="s">
        <v>886</v>
      </c>
      <c r="F614" t="s">
        <v>358</v>
      </c>
      <c r="G614" s="475" t="s">
        <v>2488</v>
      </c>
      <c r="H614" s="475" t="s">
        <v>2489</v>
      </c>
      <c r="I614" t="s">
        <v>835</v>
      </c>
      <c r="L614">
        <v>0</v>
      </c>
    </row>
    <row r="615" spans="2:12" ht="12.75">
      <c r="B615">
        <v>2617</v>
      </c>
      <c r="C615" t="s">
        <v>2490</v>
      </c>
      <c r="D615" t="s">
        <v>126</v>
      </c>
      <c r="E615" t="s">
        <v>886</v>
      </c>
      <c r="F615" t="s">
        <v>412</v>
      </c>
      <c r="G615" s="475" t="s">
        <v>2491</v>
      </c>
      <c r="H615" s="475" t="s">
        <v>1047</v>
      </c>
      <c r="I615" t="s">
        <v>835</v>
      </c>
      <c r="L615">
        <v>0</v>
      </c>
    </row>
    <row r="616" spans="2:12" ht="12.75">
      <c r="B616">
        <v>2618</v>
      </c>
      <c r="C616" t="s">
        <v>306</v>
      </c>
      <c r="D616" t="s">
        <v>131</v>
      </c>
      <c r="E616" t="s">
        <v>886</v>
      </c>
      <c r="F616" t="s">
        <v>430</v>
      </c>
      <c r="G616" s="475" t="s">
        <v>2492</v>
      </c>
      <c r="H616" s="475" t="s">
        <v>2493</v>
      </c>
      <c r="I616" t="s">
        <v>835</v>
      </c>
      <c r="J616" t="s">
        <v>634</v>
      </c>
      <c r="L616">
        <v>276096909081073</v>
      </c>
    </row>
    <row r="617" spans="2:12" ht="12.75">
      <c r="B617">
        <v>2621</v>
      </c>
      <c r="C617" t="s">
        <v>639</v>
      </c>
      <c r="D617" t="s">
        <v>122</v>
      </c>
      <c r="E617" t="s">
        <v>931</v>
      </c>
      <c r="F617" t="s">
        <v>187</v>
      </c>
      <c r="G617" s="475" t="s">
        <v>2494</v>
      </c>
      <c r="H617" s="475" t="s">
        <v>1129</v>
      </c>
      <c r="I617" t="s">
        <v>836</v>
      </c>
      <c r="J617" t="s">
        <v>2495</v>
      </c>
      <c r="L617">
        <v>900096000045223</v>
      </c>
    </row>
    <row r="618" spans="2:12" ht="12.75">
      <c r="B618">
        <v>2622</v>
      </c>
      <c r="C618" t="s">
        <v>2496</v>
      </c>
      <c r="D618" t="s">
        <v>103</v>
      </c>
      <c r="E618" t="s">
        <v>886</v>
      </c>
      <c r="F618" t="s">
        <v>437</v>
      </c>
      <c r="G618" s="475" t="s">
        <v>2497</v>
      </c>
      <c r="H618" s="475" t="s">
        <v>2498</v>
      </c>
      <c r="I618" t="s">
        <v>835</v>
      </c>
      <c r="J618" t="s">
        <v>493</v>
      </c>
      <c r="L618">
        <v>276096100343335</v>
      </c>
    </row>
    <row r="619" spans="2:12" ht="12.75">
      <c r="B619">
        <v>2623</v>
      </c>
      <c r="C619" t="s">
        <v>713</v>
      </c>
      <c r="D619" t="s">
        <v>126</v>
      </c>
      <c r="E619" t="s">
        <v>886</v>
      </c>
      <c r="F619" t="s">
        <v>2499</v>
      </c>
      <c r="G619" s="475" t="s">
        <v>1316</v>
      </c>
      <c r="H619" s="475" t="s">
        <v>2500</v>
      </c>
      <c r="I619" t="s">
        <v>835</v>
      </c>
      <c r="J619" t="s">
        <v>714</v>
      </c>
      <c r="L619">
        <v>276094180014936</v>
      </c>
    </row>
    <row r="620" spans="2:12" ht="12.75">
      <c r="B620">
        <v>2624</v>
      </c>
      <c r="C620" t="s">
        <v>2501</v>
      </c>
      <c r="D620" t="s">
        <v>2502</v>
      </c>
      <c r="E620" t="s">
        <v>886</v>
      </c>
      <c r="F620" t="s">
        <v>2503</v>
      </c>
      <c r="G620" s="475" t="s">
        <v>1335</v>
      </c>
      <c r="H620" s="475" t="s">
        <v>1081</v>
      </c>
      <c r="I620" t="s">
        <v>835</v>
      </c>
      <c r="J620" t="s">
        <v>2504</v>
      </c>
      <c r="L620">
        <v>250269200174649</v>
      </c>
    </row>
    <row r="621" spans="2:12" ht="12.75">
      <c r="B621">
        <v>2625</v>
      </c>
      <c r="C621" t="s">
        <v>2505</v>
      </c>
      <c r="D621" t="s">
        <v>103</v>
      </c>
      <c r="E621" t="s">
        <v>886</v>
      </c>
      <c r="F621" t="s">
        <v>2506</v>
      </c>
      <c r="G621" s="475" t="s">
        <v>2507</v>
      </c>
      <c r="H621" s="475" t="s">
        <v>1624</v>
      </c>
      <c r="I621" t="s">
        <v>835</v>
      </c>
      <c r="J621" t="s">
        <v>2508</v>
      </c>
      <c r="L621">
        <v>250268500705444</v>
      </c>
    </row>
    <row r="622" spans="2:12" ht="12.75">
      <c r="B622">
        <v>2626</v>
      </c>
      <c r="C622" t="s">
        <v>2509</v>
      </c>
      <c r="D622" t="s">
        <v>1707</v>
      </c>
      <c r="E622" t="s">
        <v>886</v>
      </c>
      <c r="F622" t="s">
        <v>2510</v>
      </c>
      <c r="G622" s="475" t="s">
        <v>2511</v>
      </c>
      <c r="H622" s="475" t="s">
        <v>1586</v>
      </c>
      <c r="I622" t="s">
        <v>835</v>
      </c>
      <c r="J622" t="s">
        <v>2512</v>
      </c>
      <c r="L622">
        <v>250269602989689</v>
      </c>
    </row>
    <row r="623" spans="2:12" ht="12.75">
      <c r="B623">
        <v>2628</v>
      </c>
      <c r="C623" t="s">
        <v>2513</v>
      </c>
      <c r="D623" t="s">
        <v>172</v>
      </c>
      <c r="E623" t="s">
        <v>894</v>
      </c>
      <c r="F623" t="s">
        <v>2514</v>
      </c>
      <c r="G623" s="475" t="s">
        <v>2515</v>
      </c>
      <c r="H623" s="475" t="s">
        <v>2400</v>
      </c>
      <c r="I623" t="s">
        <v>836</v>
      </c>
      <c r="J623" t="s">
        <v>490</v>
      </c>
      <c r="L623">
        <v>947000000402268</v>
      </c>
    </row>
    <row r="624" spans="2:12" ht="12.75">
      <c r="B624">
        <v>2629</v>
      </c>
      <c r="C624" t="s">
        <v>2516</v>
      </c>
      <c r="D624" t="s">
        <v>103</v>
      </c>
      <c r="E624" t="s">
        <v>886</v>
      </c>
      <c r="F624" t="s">
        <v>2517</v>
      </c>
      <c r="G624" s="475" t="s">
        <v>2518</v>
      </c>
      <c r="H624" s="475" t="s">
        <v>2047</v>
      </c>
      <c r="I624" t="s">
        <v>835</v>
      </c>
      <c r="J624" t="s">
        <v>2519</v>
      </c>
      <c r="L624">
        <v>250269801902223</v>
      </c>
    </row>
    <row r="625" spans="2:12" ht="12.75">
      <c r="B625">
        <v>2630</v>
      </c>
      <c r="C625" t="s">
        <v>302</v>
      </c>
      <c r="D625" t="s">
        <v>126</v>
      </c>
      <c r="E625" t="s">
        <v>886</v>
      </c>
      <c r="F625" t="s">
        <v>563</v>
      </c>
      <c r="G625" s="475" t="s">
        <v>2520</v>
      </c>
      <c r="H625" s="475" t="s">
        <v>2521</v>
      </c>
      <c r="I625" t="s">
        <v>835</v>
      </c>
      <c r="J625" t="s">
        <v>754</v>
      </c>
      <c r="L625">
        <v>276094180127710</v>
      </c>
    </row>
    <row r="626" spans="2:12" ht="12.75">
      <c r="B626">
        <v>2633</v>
      </c>
      <c r="C626" t="s">
        <v>151</v>
      </c>
      <c r="D626" t="s">
        <v>185</v>
      </c>
      <c r="E626" t="s">
        <v>886</v>
      </c>
      <c r="F626" t="s">
        <v>2522</v>
      </c>
      <c r="G626" s="475" t="s">
        <v>2523</v>
      </c>
      <c r="H626" s="475" t="s">
        <v>2524</v>
      </c>
      <c r="I626" t="s">
        <v>835</v>
      </c>
      <c r="L626">
        <v>276098104259905</v>
      </c>
    </row>
    <row r="627" spans="2:12" ht="12.75">
      <c r="B627">
        <v>2634</v>
      </c>
      <c r="C627" t="s">
        <v>150</v>
      </c>
      <c r="D627" t="s">
        <v>126</v>
      </c>
      <c r="E627" t="s">
        <v>886</v>
      </c>
      <c r="F627" t="s">
        <v>1533</v>
      </c>
      <c r="G627" s="475" t="s">
        <v>2525</v>
      </c>
      <c r="H627" s="475" t="s">
        <v>2526</v>
      </c>
      <c r="I627" t="s">
        <v>835</v>
      </c>
      <c r="L627">
        <v>276098106023494</v>
      </c>
    </row>
    <row r="628" spans="2:12" ht="12.75">
      <c r="B628">
        <v>2635</v>
      </c>
      <c r="C628" t="s">
        <v>686</v>
      </c>
      <c r="D628" t="s">
        <v>472</v>
      </c>
      <c r="E628" t="s">
        <v>886</v>
      </c>
      <c r="F628" t="s">
        <v>687</v>
      </c>
      <c r="G628" s="475" t="s">
        <v>2527</v>
      </c>
      <c r="H628" s="475" t="s">
        <v>2528</v>
      </c>
      <c r="I628" t="s">
        <v>835</v>
      </c>
      <c r="L628">
        <v>123456789</v>
      </c>
    </row>
    <row r="629" spans="2:12" ht="12.75">
      <c r="B629">
        <v>2636</v>
      </c>
      <c r="C629" t="s">
        <v>109</v>
      </c>
      <c r="D629" t="s">
        <v>543</v>
      </c>
      <c r="E629" t="s">
        <v>886</v>
      </c>
      <c r="F629" t="s">
        <v>2529</v>
      </c>
      <c r="G629" s="475" t="s">
        <v>2530</v>
      </c>
      <c r="H629" s="475" t="s">
        <v>2528</v>
      </c>
      <c r="I629" t="s">
        <v>835</v>
      </c>
      <c r="L629">
        <v>1234567891</v>
      </c>
    </row>
    <row r="630" spans="2:12" ht="12.75">
      <c r="B630">
        <v>2637</v>
      </c>
      <c r="C630" t="s">
        <v>632</v>
      </c>
      <c r="D630" t="s">
        <v>266</v>
      </c>
      <c r="E630" t="s">
        <v>886</v>
      </c>
      <c r="F630" t="s">
        <v>409</v>
      </c>
      <c r="G630" s="475" t="s">
        <v>2531</v>
      </c>
      <c r="H630" s="475" t="s">
        <v>2532</v>
      </c>
      <c r="I630" t="s">
        <v>835</v>
      </c>
      <c r="L630">
        <v>12345678912</v>
      </c>
    </row>
    <row r="631" spans="2:12" ht="12.75">
      <c r="B631">
        <v>2638</v>
      </c>
      <c r="C631" t="s">
        <v>271</v>
      </c>
      <c r="D631" t="s">
        <v>1847</v>
      </c>
      <c r="E631" t="s">
        <v>899</v>
      </c>
      <c r="F631" t="s">
        <v>286</v>
      </c>
      <c r="G631" s="475" t="s">
        <v>2533</v>
      </c>
      <c r="H631" s="475" t="s">
        <v>925</v>
      </c>
      <c r="I631">
        <v>8012</v>
      </c>
      <c r="J631" t="s">
        <v>2534</v>
      </c>
      <c r="L631">
        <v>276098104813229</v>
      </c>
    </row>
    <row r="632" spans="2:12" ht="12.75">
      <c r="B632">
        <v>2639</v>
      </c>
      <c r="C632" t="s">
        <v>508</v>
      </c>
      <c r="D632" t="s">
        <v>126</v>
      </c>
      <c r="E632" t="s">
        <v>886</v>
      </c>
      <c r="F632" t="s">
        <v>687</v>
      </c>
      <c r="G632" s="475" t="s">
        <v>2535</v>
      </c>
      <c r="H632" s="475" t="s">
        <v>2536</v>
      </c>
      <c r="I632" t="s">
        <v>835</v>
      </c>
      <c r="L632">
        <v>276098104489599</v>
      </c>
    </row>
    <row r="633" spans="2:12" ht="12.75">
      <c r="B633">
        <v>2640</v>
      </c>
      <c r="C633" t="s">
        <v>107</v>
      </c>
      <c r="D633" t="s">
        <v>2537</v>
      </c>
      <c r="E633" t="s">
        <v>903</v>
      </c>
      <c r="F633" t="s">
        <v>507</v>
      </c>
      <c r="G633" s="475" t="s">
        <v>2538</v>
      </c>
      <c r="H633" s="475" t="s">
        <v>1145</v>
      </c>
      <c r="I633">
        <v>6806</v>
      </c>
      <c r="J633" t="s">
        <v>1368</v>
      </c>
      <c r="L633">
        <v>276095610056234</v>
      </c>
    </row>
    <row r="634" spans="2:12" ht="12.75">
      <c r="B634">
        <v>2650</v>
      </c>
      <c r="C634" t="s">
        <v>2539</v>
      </c>
      <c r="D634" t="s">
        <v>131</v>
      </c>
      <c r="E634" t="s">
        <v>894</v>
      </c>
      <c r="F634" t="s">
        <v>247</v>
      </c>
      <c r="G634" s="475" t="s">
        <v>2540</v>
      </c>
      <c r="H634" s="475" t="s">
        <v>1799</v>
      </c>
      <c r="I634">
        <v>9002</v>
      </c>
      <c r="J634" t="s">
        <v>2541</v>
      </c>
      <c r="L634">
        <v>191100000585387</v>
      </c>
    </row>
    <row r="635" spans="2:12" ht="12.75">
      <c r="B635">
        <v>2656</v>
      </c>
      <c r="C635" t="s">
        <v>105</v>
      </c>
      <c r="D635" t="s">
        <v>123</v>
      </c>
      <c r="E635" t="s">
        <v>914</v>
      </c>
      <c r="F635" t="s">
        <v>218</v>
      </c>
      <c r="G635" s="475" t="s">
        <v>1084</v>
      </c>
      <c r="H635" s="475" t="s">
        <v>2542</v>
      </c>
      <c r="I635">
        <v>127</v>
      </c>
      <c r="J635" t="s">
        <v>715</v>
      </c>
      <c r="L635">
        <v>276096900349166</v>
      </c>
    </row>
    <row r="636" spans="2:12" ht="12.75">
      <c r="B636">
        <v>2657</v>
      </c>
      <c r="C636" t="s">
        <v>134</v>
      </c>
      <c r="D636" t="s">
        <v>203</v>
      </c>
      <c r="E636" t="s">
        <v>931</v>
      </c>
      <c r="F636" t="s">
        <v>202</v>
      </c>
      <c r="G636" s="475" t="s">
        <v>2543</v>
      </c>
      <c r="H636" s="475" t="s">
        <v>1041</v>
      </c>
      <c r="I636">
        <v>6805</v>
      </c>
      <c r="J636" t="s">
        <v>2544</v>
      </c>
      <c r="L636">
        <v>276093400303237</v>
      </c>
    </row>
    <row r="637" spans="2:12" ht="12.75">
      <c r="B637">
        <v>2658</v>
      </c>
      <c r="C637" t="s">
        <v>120</v>
      </c>
      <c r="D637" t="s">
        <v>126</v>
      </c>
      <c r="E637" t="s">
        <v>886</v>
      </c>
      <c r="F637" t="s">
        <v>248</v>
      </c>
      <c r="G637" s="475" t="s">
        <v>2545</v>
      </c>
      <c r="H637" s="475" t="s">
        <v>2546</v>
      </c>
      <c r="I637" t="s">
        <v>835</v>
      </c>
      <c r="J637" t="s">
        <v>188</v>
      </c>
      <c r="L637">
        <v>276094180093595</v>
      </c>
    </row>
    <row r="638" spans="2:12" ht="12.75">
      <c r="B638">
        <v>2659</v>
      </c>
      <c r="C638" t="s">
        <v>2547</v>
      </c>
      <c r="D638" t="s">
        <v>185</v>
      </c>
      <c r="E638" t="s">
        <v>886</v>
      </c>
      <c r="F638" t="s">
        <v>423</v>
      </c>
      <c r="G638" s="475" t="s">
        <v>2548</v>
      </c>
      <c r="H638" s="475" t="s">
        <v>2549</v>
      </c>
      <c r="I638" t="s">
        <v>835</v>
      </c>
      <c r="J638" t="s">
        <v>2550</v>
      </c>
      <c r="L638">
        <v>276098007125061</v>
      </c>
    </row>
    <row r="639" spans="2:12" ht="12.75">
      <c r="B639">
        <v>2660</v>
      </c>
      <c r="C639" t="s">
        <v>445</v>
      </c>
      <c r="D639" t="s">
        <v>441</v>
      </c>
      <c r="E639" t="s">
        <v>931</v>
      </c>
      <c r="F639" t="s">
        <v>277</v>
      </c>
      <c r="G639" s="475" t="s">
        <v>2551</v>
      </c>
      <c r="H639" s="475" t="s">
        <v>2552</v>
      </c>
      <c r="I639" t="s">
        <v>836</v>
      </c>
      <c r="J639" t="s">
        <v>2553</v>
      </c>
      <c r="L639">
        <v>985170000210474</v>
      </c>
    </row>
    <row r="640" spans="2:12" ht="12.75">
      <c r="B640">
        <v>2661</v>
      </c>
      <c r="C640" t="s">
        <v>390</v>
      </c>
      <c r="D640" t="s">
        <v>126</v>
      </c>
      <c r="E640" t="s">
        <v>886</v>
      </c>
      <c r="F640" t="s">
        <v>1410</v>
      </c>
      <c r="G640" s="475" t="s">
        <v>2554</v>
      </c>
      <c r="H640" s="475" t="s">
        <v>1331</v>
      </c>
      <c r="I640" t="s">
        <v>835</v>
      </c>
      <c r="J640" t="s">
        <v>1332</v>
      </c>
      <c r="L640">
        <v>276096909226379</v>
      </c>
    </row>
    <row r="641" spans="2:12" ht="12.75">
      <c r="B641">
        <v>2662</v>
      </c>
      <c r="C641" t="s">
        <v>2555</v>
      </c>
      <c r="D641" t="s">
        <v>103</v>
      </c>
      <c r="E641" t="s">
        <v>886</v>
      </c>
      <c r="F641" t="s">
        <v>321</v>
      </c>
      <c r="G641" s="475" t="s">
        <v>2556</v>
      </c>
      <c r="H641" s="475" t="s">
        <v>2396</v>
      </c>
      <c r="I641" t="s">
        <v>835</v>
      </c>
      <c r="L641">
        <v>276094500125584</v>
      </c>
    </row>
    <row r="642" spans="2:12" ht="12.75">
      <c r="B642">
        <v>2663</v>
      </c>
      <c r="C642" t="s">
        <v>2557</v>
      </c>
      <c r="D642" t="s">
        <v>103</v>
      </c>
      <c r="E642" t="s">
        <v>886</v>
      </c>
      <c r="F642" t="s">
        <v>1346</v>
      </c>
      <c r="G642" s="475" t="s">
        <v>2558</v>
      </c>
      <c r="H642" s="475" t="s">
        <v>2559</v>
      </c>
      <c r="I642" t="s">
        <v>835</v>
      </c>
      <c r="L642">
        <v>276096909100570</v>
      </c>
    </row>
    <row r="643" spans="2:12" ht="12.75">
      <c r="B643">
        <v>2664</v>
      </c>
      <c r="C643" t="s">
        <v>2560</v>
      </c>
      <c r="D643" t="s">
        <v>122</v>
      </c>
      <c r="E643" t="s">
        <v>931</v>
      </c>
      <c r="F643" t="s">
        <v>2561</v>
      </c>
      <c r="G643" s="475" t="s">
        <v>2562</v>
      </c>
      <c r="H643" s="475" t="s">
        <v>2563</v>
      </c>
      <c r="I643" t="s">
        <v>836</v>
      </c>
      <c r="J643" t="s">
        <v>2564</v>
      </c>
      <c r="L643">
        <v>939000001164177</v>
      </c>
    </row>
    <row r="644" spans="2:12" ht="12.75">
      <c r="B644">
        <v>2665</v>
      </c>
      <c r="C644" t="s">
        <v>2565</v>
      </c>
      <c r="D644" t="s">
        <v>123</v>
      </c>
      <c r="E644" t="s">
        <v>886</v>
      </c>
      <c r="F644" t="s">
        <v>505</v>
      </c>
      <c r="G644" s="475" t="s">
        <v>2518</v>
      </c>
      <c r="H644" s="475" t="s">
        <v>2154</v>
      </c>
      <c r="I644" t="s">
        <v>835</v>
      </c>
      <c r="J644" t="s">
        <v>2566</v>
      </c>
      <c r="L644">
        <v>276098104128088</v>
      </c>
    </row>
    <row r="645" spans="2:12" ht="12.75">
      <c r="B645">
        <v>2666</v>
      </c>
      <c r="C645" t="s">
        <v>2567</v>
      </c>
      <c r="D645" t="s">
        <v>103</v>
      </c>
      <c r="E645" t="s">
        <v>886</v>
      </c>
      <c r="F645" t="s">
        <v>348</v>
      </c>
      <c r="G645" s="475" t="s">
        <v>1566</v>
      </c>
      <c r="H645" s="475" t="s">
        <v>1140</v>
      </c>
      <c r="I645" t="s">
        <v>835</v>
      </c>
      <c r="L645">
        <v>276098104448904</v>
      </c>
    </row>
    <row r="646" spans="2:12" ht="12.75">
      <c r="B646">
        <v>2667</v>
      </c>
      <c r="C646" t="s">
        <v>2568</v>
      </c>
      <c r="D646" t="s">
        <v>172</v>
      </c>
      <c r="E646" t="s">
        <v>1876</v>
      </c>
      <c r="F646" t="s">
        <v>173</v>
      </c>
      <c r="G646" s="475" t="s">
        <v>1566</v>
      </c>
      <c r="H646" s="475" t="s">
        <v>1561</v>
      </c>
      <c r="I646" t="s">
        <v>836</v>
      </c>
      <c r="L646">
        <v>123456789012345</v>
      </c>
    </row>
    <row r="647" spans="2:12" ht="12.75">
      <c r="B647">
        <v>2668</v>
      </c>
      <c r="C647" t="s">
        <v>119</v>
      </c>
      <c r="D647" t="s">
        <v>123</v>
      </c>
      <c r="E647" t="s">
        <v>1876</v>
      </c>
      <c r="F647" t="s">
        <v>307</v>
      </c>
      <c r="G647" s="475" t="s">
        <v>2569</v>
      </c>
      <c r="H647" s="475" t="s">
        <v>907</v>
      </c>
      <c r="I647" t="s">
        <v>836</v>
      </c>
      <c r="L647">
        <v>977200008779214</v>
      </c>
    </row>
    <row r="648" spans="2:12" ht="12.75">
      <c r="B648">
        <v>2669</v>
      </c>
      <c r="C648" t="s">
        <v>357</v>
      </c>
      <c r="D648" t="s">
        <v>266</v>
      </c>
      <c r="E648" t="s">
        <v>886</v>
      </c>
      <c r="F648" t="s">
        <v>307</v>
      </c>
      <c r="G648" s="475" t="s">
        <v>2570</v>
      </c>
      <c r="H648" s="475" t="s">
        <v>2571</v>
      </c>
      <c r="I648" t="s">
        <v>835</v>
      </c>
      <c r="J648" t="s">
        <v>2572</v>
      </c>
      <c r="L648">
        <v>270698104713727</v>
      </c>
    </row>
    <row r="649" spans="2:12" ht="12.75">
      <c r="B649">
        <v>2672</v>
      </c>
      <c r="C649" t="s">
        <v>119</v>
      </c>
      <c r="D649" t="s">
        <v>333</v>
      </c>
      <c r="E649" t="s">
        <v>1876</v>
      </c>
      <c r="F649" t="s">
        <v>548</v>
      </c>
      <c r="G649" s="475" t="s">
        <v>2573</v>
      </c>
      <c r="H649" s="475" t="s">
        <v>993</v>
      </c>
      <c r="I649" t="s">
        <v>836</v>
      </c>
      <c r="J649" t="s">
        <v>549</v>
      </c>
      <c r="L649">
        <v>276093400533356</v>
      </c>
    </row>
    <row r="650" spans="2:12" ht="12.75">
      <c r="B650">
        <v>2673</v>
      </c>
      <c r="C650" t="s">
        <v>2574</v>
      </c>
      <c r="D650" t="s">
        <v>2575</v>
      </c>
      <c r="E650" t="s">
        <v>886</v>
      </c>
      <c r="F650" t="s">
        <v>182</v>
      </c>
      <c r="G650" s="475" t="s">
        <v>2576</v>
      </c>
      <c r="H650" s="475" t="s">
        <v>2577</v>
      </c>
      <c r="I650" t="s">
        <v>835</v>
      </c>
      <c r="J650" t="s">
        <v>418</v>
      </c>
      <c r="L650">
        <v>967000009365815</v>
      </c>
    </row>
    <row r="651" spans="2:12" ht="12.75">
      <c r="B651">
        <v>2674</v>
      </c>
      <c r="C651" t="s">
        <v>114</v>
      </c>
      <c r="D651" t="s">
        <v>462</v>
      </c>
      <c r="E651" t="s">
        <v>886</v>
      </c>
      <c r="F651" t="s">
        <v>359</v>
      </c>
      <c r="G651" s="475" t="s">
        <v>2578</v>
      </c>
      <c r="H651" s="475" t="s">
        <v>1075</v>
      </c>
      <c r="I651" t="s">
        <v>835</v>
      </c>
      <c r="L651">
        <v>276098104510882</v>
      </c>
    </row>
    <row r="652" spans="2:12" ht="12.75">
      <c r="B652">
        <v>2677</v>
      </c>
      <c r="C652" t="s">
        <v>388</v>
      </c>
      <c r="D652" t="s">
        <v>817</v>
      </c>
      <c r="E652" t="s">
        <v>886</v>
      </c>
      <c r="F652" t="s">
        <v>409</v>
      </c>
      <c r="G652" s="475" t="s">
        <v>2579</v>
      </c>
      <c r="H652" s="475" t="s">
        <v>1047</v>
      </c>
      <c r="I652" t="s">
        <v>835</v>
      </c>
      <c r="J652" t="s">
        <v>1920</v>
      </c>
      <c r="L652">
        <v>276094500236990</v>
      </c>
    </row>
    <row r="653" spans="2:12" ht="12.75">
      <c r="B653">
        <v>2678</v>
      </c>
      <c r="C653" t="s">
        <v>659</v>
      </c>
      <c r="D653" t="s">
        <v>172</v>
      </c>
      <c r="E653" t="s">
        <v>886</v>
      </c>
      <c r="F653" t="s">
        <v>238</v>
      </c>
      <c r="G653" s="475" t="s">
        <v>2580</v>
      </c>
      <c r="H653" s="475" t="s">
        <v>1079</v>
      </c>
      <c r="I653" t="s">
        <v>835</v>
      </c>
      <c r="J653" t="s">
        <v>2581</v>
      </c>
      <c r="L653">
        <v>276094100114943</v>
      </c>
    </row>
    <row r="654" spans="2:12" ht="12.75">
      <c r="B654">
        <v>2679</v>
      </c>
      <c r="C654" t="s">
        <v>645</v>
      </c>
      <c r="D654" t="s">
        <v>2582</v>
      </c>
      <c r="E654" t="s">
        <v>1876</v>
      </c>
      <c r="F654" t="s">
        <v>202</v>
      </c>
      <c r="G654" s="475" t="s">
        <v>1094</v>
      </c>
      <c r="H654" s="475" t="s">
        <v>2583</v>
      </c>
      <c r="I654" t="s">
        <v>836</v>
      </c>
      <c r="L654">
        <v>276098510241748</v>
      </c>
    </row>
    <row r="655" spans="2:12" ht="12.75">
      <c r="B655">
        <v>2680</v>
      </c>
      <c r="C655" t="s">
        <v>112</v>
      </c>
      <c r="D655" t="s">
        <v>103</v>
      </c>
      <c r="E655" t="s">
        <v>1876</v>
      </c>
      <c r="F655" t="s">
        <v>2584</v>
      </c>
      <c r="G655" s="475" t="s">
        <v>2585</v>
      </c>
      <c r="H655" s="475" t="s">
        <v>1446</v>
      </c>
      <c r="I655" t="s">
        <v>836</v>
      </c>
      <c r="L655">
        <v>276094100196382</v>
      </c>
    </row>
    <row r="656" spans="2:12" ht="12.75">
      <c r="B656">
        <v>2682</v>
      </c>
      <c r="C656" t="s">
        <v>2586</v>
      </c>
      <c r="D656" t="s">
        <v>131</v>
      </c>
      <c r="E656" t="s">
        <v>1876</v>
      </c>
      <c r="F656" t="s">
        <v>307</v>
      </c>
      <c r="G656" s="475" t="s">
        <v>2587</v>
      </c>
      <c r="H656" s="475" t="s">
        <v>2588</v>
      </c>
      <c r="I656" t="s">
        <v>836</v>
      </c>
      <c r="L656">
        <v>276096100309027</v>
      </c>
    </row>
    <row r="657" spans="2:12" ht="12.75">
      <c r="B657">
        <v>2684</v>
      </c>
      <c r="C657" t="s">
        <v>142</v>
      </c>
      <c r="D657" t="s">
        <v>185</v>
      </c>
      <c r="E657" t="s">
        <v>886</v>
      </c>
      <c r="F657" t="s">
        <v>256</v>
      </c>
      <c r="G657" s="475" t="s">
        <v>2589</v>
      </c>
      <c r="H657" s="475" t="s">
        <v>2590</v>
      </c>
      <c r="I657" t="s">
        <v>835</v>
      </c>
      <c r="J657" t="s">
        <v>2591</v>
      </c>
      <c r="L657">
        <v>276097202344936</v>
      </c>
    </row>
    <row r="658" spans="2:12" ht="12.75">
      <c r="B658">
        <v>2685</v>
      </c>
      <c r="C658" t="s">
        <v>1185</v>
      </c>
      <c r="D658" t="s">
        <v>521</v>
      </c>
      <c r="E658" t="s">
        <v>1876</v>
      </c>
      <c r="F658" t="s">
        <v>423</v>
      </c>
      <c r="G658" s="475" t="s">
        <v>2592</v>
      </c>
      <c r="H658" s="475" t="s">
        <v>1767</v>
      </c>
      <c r="I658" t="s">
        <v>836</v>
      </c>
      <c r="J658" t="s">
        <v>2593</v>
      </c>
      <c r="L658">
        <v>900118001008522</v>
      </c>
    </row>
    <row r="659" spans="2:12" ht="12.75">
      <c r="B659">
        <v>2686</v>
      </c>
      <c r="C659" t="s">
        <v>2594</v>
      </c>
      <c r="D659" t="s">
        <v>816</v>
      </c>
      <c r="E659" t="s">
        <v>886</v>
      </c>
      <c r="F659" t="s">
        <v>2595</v>
      </c>
      <c r="G659" s="475" t="s">
        <v>2596</v>
      </c>
      <c r="H659" s="475" t="s">
        <v>2182</v>
      </c>
      <c r="I659" t="s">
        <v>835</v>
      </c>
      <c r="J659" t="s">
        <v>2597</v>
      </c>
      <c r="L659">
        <v>276096100334962</v>
      </c>
    </row>
    <row r="660" spans="2:12" ht="12.75">
      <c r="B660">
        <v>2687</v>
      </c>
      <c r="C660" t="s">
        <v>2598</v>
      </c>
      <c r="D660" t="s">
        <v>103</v>
      </c>
      <c r="E660" t="s">
        <v>886</v>
      </c>
      <c r="F660" t="s">
        <v>286</v>
      </c>
      <c r="G660" s="475" t="s">
        <v>2599</v>
      </c>
      <c r="H660" s="475" t="s">
        <v>2191</v>
      </c>
      <c r="I660" t="s">
        <v>835</v>
      </c>
      <c r="J660" t="s">
        <v>1093</v>
      </c>
      <c r="L660">
        <v>276096901225866</v>
      </c>
    </row>
    <row r="661" spans="2:12" ht="12.75">
      <c r="B661">
        <v>2688</v>
      </c>
      <c r="C661" t="s">
        <v>2600</v>
      </c>
      <c r="D661" t="s">
        <v>337</v>
      </c>
      <c r="E661" t="s">
        <v>1876</v>
      </c>
      <c r="F661" t="s">
        <v>2601</v>
      </c>
      <c r="G661" s="475" t="s">
        <v>2602</v>
      </c>
      <c r="H661" s="475" t="s">
        <v>2191</v>
      </c>
      <c r="I661" t="s">
        <v>836</v>
      </c>
      <c r="J661" t="s">
        <v>2603</v>
      </c>
      <c r="L661">
        <v>276095610087282</v>
      </c>
    </row>
    <row r="662" spans="2:12" ht="12.75">
      <c r="B662">
        <v>2691</v>
      </c>
      <c r="C662" t="s">
        <v>2604</v>
      </c>
      <c r="D662" t="s">
        <v>360</v>
      </c>
      <c r="E662" t="s">
        <v>886</v>
      </c>
      <c r="F662" t="s">
        <v>216</v>
      </c>
      <c r="G662" s="475" t="s">
        <v>2605</v>
      </c>
      <c r="H662" s="475" t="s">
        <v>2606</v>
      </c>
      <c r="I662" t="s">
        <v>835</v>
      </c>
      <c r="J662" t="s">
        <v>2607</v>
      </c>
      <c r="L662">
        <v>276096901139804</v>
      </c>
    </row>
    <row r="663" spans="2:12" ht="12.75">
      <c r="B663">
        <v>2692</v>
      </c>
      <c r="C663" t="s">
        <v>2608</v>
      </c>
      <c r="D663" t="s">
        <v>123</v>
      </c>
      <c r="E663" t="s">
        <v>886</v>
      </c>
      <c r="F663" t="s">
        <v>460</v>
      </c>
      <c r="G663" s="475" t="s">
        <v>2609</v>
      </c>
      <c r="H663" s="475" t="s">
        <v>2610</v>
      </c>
      <c r="I663" t="s">
        <v>835</v>
      </c>
      <c r="J663" t="s">
        <v>666</v>
      </c>
      <c r="L663">
        <v>981000006230843</v>
      </c>
    </row>
    <row r="664" spans="2:12" ht="12.75">
      <c r="B664">
        <v>2693</v>
      </c>
      <c r="C664" t="s">
        <v>2611</v>
      </c>
      <c r="D664" t="s">
        <v>543</v>
      </c>
      <c r="E664" t="s">
        <v>886</v>
      </c>
      <c r="F664" t="s">
        <v>338</v>
      </c>
      <c r="G664" s="475" t="s">
        <v>2612</v>
      </c>
      <c r="H664" s="475" t="s">
        <v>2613</v>
      </c>
      <c r="I664" t="s">
        <v>835</v>
      </c>
      <c r="J664" t="s">
        <v>2614</v>
      </c>
      <c r="L664">
        <v>900096000055898</v>
      </c>
    </row>
    <row r="665" spans="2:12" ht="12.75">
      <c r="B665">
        <v>2694</v>
      </c>
      <c r="C665" t="s">
        <v>301</v>
      </c>
      <c r="D665" t="s">
        <v>172</v>
      </c>
      <c r="E665" t="s">
        <v>886</v>
      </c>
      <c r="F665" t="s">
        <v>202</v>
      </c>
      <c r="G665" s="475" t="s">
        <v>2615</v>
      </c>
      <c r="H665" s="475" t="s">
        <v>1381</v>
      </c>
      <c r="I665" t="s">
        <v>835</v>
      </c>
      <c r="J665" t="s">
        <v>531</v>
      </c>
      <c r="L665">
        <v>276093400323311</v>
      </c>
    </row>
    <row r="666" spans="2:12" ht="12.75">
      <c r="B666">
        <v>2695</v>
      </c>
      <c r="C666" t="s">
        <v>650</v>
      </c>
      <c r="D666" t="s">
        <v>185</v>
      </c>
      <c r="E666" t="s">
        <v>886</v>
      </c>
      <c r="F666" t="s">
        <v>687</v>
      </c>
      <c r="G666" s="475" t="s">
        <v>2616</v>
      </c>
      <c r="H666" s="475" t="s">
        <v>2617</v>
      </c>
      <c r="I666" t="s">
        <v>835</v>
      </c>
      <c r="J666" t="s">
        <v>2618</v>
      </c>
      <c r="L666">
        <v>123456789123456</v>
      </c>
    </row>
    <row r="667" spans="2:12" ht="12.75">
      <c r="B667">
        <v>2696</v>
      </c>
      <c r="C667" t="s">
        <v>2619</v>
      </c>
      <c r="D667" t="s">
        <v>288</v>
      </c>
      <c r="E667" t="s">
        <v>1876</v>
      </c>
      <c r="F667" t="s">
        <v>2620</v>
      </c>
      <c r="G667" s="475" t="s">
        <v>2621</v>
      </c>
      <c r="H667" s="475" t="s">
        <v>2157</v>
      </c>
      <c r="I667" t="s">
        <v>836</v>
      </c>
      <c r="J667" t="s">
        <v>2622</v>
      </c>
      <c r="L667">
        <v>276098009111344</v>
      </c>
    </row>
    <row r="668" spans="2:12" ht="12.75">
      <c r="B668">
        <v>2697</v>
      </c>
      <c r="C668" t="s">
        <v>466</v>
      </c>
      <c r="D668" t="s">
        <v>123</v>
      </c>
      <c r="E668" t="s">
        <v>1876</v>
      </c>
      <c r="F668" t="s">
        <v>2623</v>
      </c>
      <c r="G668" s="475" t="s">
        <v>2624</v>
      </c>
      <c r="H668" s="475" t="s">
        <v>2625</v>
      </c>
      <c r="I668" t="s">
        <v>836</v>
      </c>
      <c r="J668" t="s">
        <v>2626</v>
      </c>
      <c r="L668">
        <v>276097202424650</v>
      </c>
    </row>
    <row r="669" spans="2:12" ht="12.75">
      <c r="B669">
        <v>2698</v>
      </c>
      <c r="C669" t="s">
        <v>653</v>
      </c>
      <c r="D669" t="s">
        <v>111</v>
      </c>
      <c r="E669" t="s">
        <v>1876</v>
      </c>
      <c r="F669" t="s">
        <v>263</v>
      </c>
      <c r="G669" s="475" t="s">
        <v>2061</v>
      </c>
      <c r="H669" s="475" t="s">
        <v>2627</v>
      </c>
      <c r="I669" t="s">
        <v>836</v>
      </c>
      <c r="J669" t="s">
        <v>654</v>
      </c>
      <c r="L669">
        <v>945000000687684</v>
      </c>
    </row>
    <row r="670" spans="2:12" ht="12.75">
      <c r="B670">
        <v>2699</v>
      </c>
      <c r="C670" t="s">
        <v>312</v>
      </c>
      <c r="D670" t="s">
        <v>313</v>
      </c>
      <c r="E670" t="s">
        <v>1876</v>
      </c>
      <c r="F670" t="s">
        <v>547</v>
      </c>
      <c r="G670" s="475" t="s">
        <v>2407</v>
      </c>
      <c r="H670" s="475" t="s">
        <v>2559</v>
      </c>
      <c r="I670" t="s">
        <v>836</v>
      </c>
      <c r="J670" t="s">
        <v>2628</v>
      </c>
      <c r="L670">
        <v>276093400577621</v>
      </c>
    </row>
    <row r="671" spans="2:12" ht="12.75">
      <c r="B671">
        <v>2700</v>
      </c>
      <c r="C671" t="s">
        <v>323</v>
      </c>
      <c r="D671" t="s">
        <v>123</v>
      </c>
      <c r="E671" t="s">
        <v>899</v>
      </c>
      <c r="F671" t="s">
        <v>730</v>
      </c>
      <c r="G671" s="475" t="s">
        <v>982</v>
      </c>
      <c r="H671" s="475" t="s">
        <v>1742</v>
      </c>
      <c r="I671">
        <v>3515</v>
      </c>
      <c r="J671" t="s">
        <v>2629</v>
      </c>
      <c r="L671">
        <v>968000000578471</v>
      </c>
    </row>
    <row r="672" spans="2:12" ht="12.75">
      <c r="B672">
        <v>2701</v>
      </c>
      <c r="C672" t="s">
        <v>2630</v>
      </c>
      <c r="D672" t="s">
        <v>245</v>
      </c>
      <c r="E672" t="s">
        <v>1876</v>
      </c>
      <c r="F672" t="s">
        <v>789</v>
      </c>
      <c r="G672" s="475" t="s">
        <v>2631</v>
      </c>
      <c r="H672" s="475" t="s">
        <v>2632</v>
      </c>
      <c r="I672" t="s">
        <v>836</v>
      </c>
      <c r="J672" t="s">
        <v>776</v>
      </c>
      <c r="L672">
        <v>276098200017270</v>
      </c>
    </row>
    <row r="673" spans="2:12" ht="12.75">
      <c r="B673">
        <v>2702</v>
      </c>
      <c r="C673" t="s">
        <v>2633</v>
      </c>
      <c r="D673" t="s">
        <v>422</v>
      </c>
      <c r="E673" t="s">
        <v>1876</v>
      </c>
      <c r="F673" t="s">
        <v>269</v>
      </c>
      <c r="G673" s="475" t="s">
        <v>2634</v>
      </c>
      <c r="H673" s="475" t="s">
        <v>937</v>
      </c>
      <c r="I673" t="s">
        <v>836</v>
      </c>
      <c r="J673" t="s">
        <v>427</v>
      </c>
      <c r="L673">
        <v>276097202455545</v>
      </c>
    </row>
    <row r="674" spans="2:12" ht="12.75">
      <c r="B674">
        <v>2703</v>
      </c>
      <c r="C674" t="s">
        <v>1309</v>
      </c>
      <c r="D674" t="s">
        <v>422</v>
      </c>
      <c r="E674" t="s">
        <v>1876</v>
      </c>
      <c r="F674" t="s">
        <v>399</v>
      </c>
      <c r="G674" s="475" t="s">
        <v>2634</v>
      </c>
      <c r="H674" s="475" t="s">
        <v>2635</v>
      </c>
      <c r="I674" t="s">
        <v>836</v>
      </c>
      <c r="J674" t="s">
        <v>400</v>
      </c>
      <c r="L674">
        <v>276098104775149</v>
      </c>
    </row>
    <row r="675" spans="2:12" ht="12.75">
      <c r="B675">
        <v>2704</v>
      </c>
      <c r="C675" t="s">
        <v>2636</v>
      </c>
      <c r="D675" t="s">
        <v>2637</v>
      </c>
      <c r="E675" t="s">
        <v>1876</v>
      </c>
      <c r="F675" t="s">
        <v>2638</v>
      </c>
      <c r="G675" s="475" t="s">
        <v>1968</v>
      </c>
      <c r="H675" s="475" t="s">
        <v>2639</v>
      </c>
      <c r="I675" t="s">
        <v>836</v>
      </c>
      <c r="J675" t="s">
        <v>778</v>
      </c>
      <c r="L675">
        <v>945000001125610</v>
      </c>
    </row>
    <row r="676" spans="2:12" ht="12.75">
      <c r="B676">
        <v>2705</v>
      </c>
      <c r="C676" t="s">
        <v>407</v>
      </c>
      <c r="D676" t="s">
        <v>347</v>
      </c>
      <c r="E676" t="s">
        <v>1876</v>
      </c>
      <c r="F676" t="s">
        <v>1030</v>
      </c>
      <c r="G676" s="475" t="s">
        <v>891</v>
      </c>
      <c r="H676" s="475" t="s">
        <v>2640</v>
      </c>
      <c r="I676" t="s">
        <v>836</v>
      </c>
      <c r="J676" t="s">
        <v>2641</v>
      </c>
      <c r="L676">
        <v>960000000585317</v>
      </c>
    </row>
    <row r="677" spans="2:12" ht="12.75">
      <c r="B677">
        <v>2706</v>
      </c>
      <c r="C677" t="s">
        <v>2642</v>
      </c>
      <c r="D677" t="s">
        <v>123</v>
      </c>
      <c r="E677" t="s">
        <v>886</v>
      </c>
      <c r="F677" t="s">
        <v>730</v>
      </c>
      <c r="G677" s="475" t="s">
        <v>1896</v>
      </c>
      <c r="H677" s="475" t="s">
        <v>1845</v>
      </c>
      <c r="I677" t="s">
        <v>835</v>
      </c>
      <c r="J677" t="s">
        <v>2629</v>
      </c>
      <c r="L677">
        <v>956000008780640</v>
      </c>
    </row>
    <row r="678" spans="2:12" ht="12.75">
      <c r="B678">
        <v>2707</v>
      </c>
      <c r="C678" t="s">
        <v>2643</v>
      </c>
      <c r="D678" t="s">
        <v>185</v>
      </c>
      <c r="E678" t="s">
        <v>886</v>
      </c>
      <c r="F678" t="s">
        <v>547</v>
      </c>
      <c r="G678" s="475" t="s">
        <v>2644</v>
      </c>
      <c r="H678" s="475" t="s">
        <v>2645</v>
      </c>
      <c r="I678" t="s">
        <v>835</v>
      </c>
      <c r="L678">
        <v>276098102952175</v>
      </c>
    </row>
    <row r="679" spans="2:12" ht="12.75">
      <c r="B679">
        <v>2708</v>
      </c>
      <c r="C679" t="s">
        <v>703</v>
      </c>
      <c r="D679" t="s">
        <v>782</v>
      </c>
      <c r="E679" t="s">
        <v>886</v>
      </c>
      <c r="F679" t="s">
        <v>392</v>
      </c>
      <c r="G679" s="475" t="s">
        <v>2646</v>
      </c>
      <c r="H679" s="475" t="s">
        <v>2647</v>
      </c>
      <c r="I679" t="s">
        <v>835</v>
      </c>
      <c r="J679" t="s">
        <v>786</v>
      </c>
      <c r="L679">
        <v>276098106045685</v>
      </c>
    </row>
    <row r="680" spans="2:12" ht="12.75">
      <c r="B680">
        <v>2709</v>
      </c>
      <c r="C680" t="s">
        <v>401</v>
      </c>
      <c r="D680" t="s">
        <v>123</v>
      </c>
      <c r="E680" t="s">
        <v>1876</v>
      </c>
      <c r="F680" t="s">
        <v>289</v>
      </c>
      <c r="G680" s="475" t="s">
        <v>2648</v>
      </c>
      <c r="H680" s="475" t="s">
        <v>2649</v>
      </c>
      <c r="I680" t="s">
        <v>836</v>
      </c>
      <c r="J680" t="s">
        <v>290</v>
      </c>
      <c r="L680">
        <v>642098100021319</v>
      </c>
    </row>
    <row r="681" spans="2:12" ht="12.75">
      <c r="B681">
        <v>2710</v>
      </c>
      <c r="C681" t="s">
        <v>114</v>
      </c>
      <c r="D681" t="s">
        <v>185</v>
      </c>
      <c r="E681" t="s">
        <v>886</v>
      </c>
      <c r="F681" t="s">
        <v>2650</v>
      </c>
      <c r="G681" s="475" t="s">
        <v>2651</v>
      </c>
      <c r="H681" s="475" t="s">
        <v>1705</v>
      </c>
      <c r="I681" t="s">
        <v>835</v>
      </c>
      <c r="J681" t="s">
        <v>2652</v>
      </c>
      <c r="L681">
        <v>276098104023484</v>
      </c>
    </row>
    <row r="682" spans="2:12" ht="12.75">
      <c r="B682">
        <v>2711</v>
      </c>
      <c r="C682" t="s">
        <v>650</v>
      </c>
      <c r="D682" t="s">
        <v>103</v>
      </c>
      <c r="E682" t="s">
        <v>886</v>
      </c>
      <c r="F682" t="s">
        <v>569</v>
      </c>
      <c r="G682" s="475" t="s">
        <v>2653</v>
      </c>
      <c r="H682" s="475" t="s">
        <v>2654</v>
      </c>
      <c r="I682" t="s">
        <v>835</v>
      </c>
      <c r="J682" t="s">
        <v>2655</v>
      </c>
      <c r="L682">
        <v>645293801948372</v>
      </c>
    </row>
    <row r="683" spans="2:12" ht="12.75">
      <c r="B683">
        <v>2712</v>
      </c>
      <c r="C683" t="s">
        <v>212</v>
      </c>
      <c r="D683" t="s">
        <v>229</v>
      </c>
      <c r="E683" t="s">
        <v>886</v>
      </c>
      <c r="F683" t="s">
        <v>344</v>
      </c>
      <c r="G683" s="475" t="s">
        <v>1854</v>
      </c>
      <c r="H683" s="475" t="s">
        <v>1749</v>
      </c>
      <c r="I683" t="s">
        <v>835</v>
      </c>
      <c r="J683" t="s">
        <v>2656</v>
      </c>
      <c r="L683">
        <v>276093400434812</v>
      </c>
    </row>
    <row r="684" spans="2:12" ht="12.75">
      <c r="B684">
        <v>2713</v>
      </c>
      <c r="C684" t="s">
        <v>681</v>
      </c>
      <c r="D684" t="s">
        <v>741</v>
      </c>
      <c r="E684" t="s">
        <v>886</v>
      </c>
      <c r="F684" t="s">
        <v>234</v>
      </c>
      <c r="G684" s="475" t="s">
        <v>2657</v>
      </c>
      <c r="H684" s="475" t="s">
        <v>2658</v>
      </c>
      <c r="I684" t="s">
        <v>835</v>
      </c>
      <c r="L684">
        <v>276098104714168</v>
      </c>
    </row>
    <row r="685" spans="2:12" ht="12.75">
      <c r="B685">
        <v>2714</v>
      </c>
      <c r="C685" t="s">
        <v>1944</v>
      </c>
      <c r="D685" t="s">
        <v>185</v>
      </c>
      <c r="E685" t="s">
        <v>886</v>
      </c>
      <c r="F685" t="s">
        <v>216</v>
      </c>
      <c r="G685" s="475" t="s">
        <v>2101</v>
      </c>
      <c r="H685" s="475" t="s">
        <v>2659</v>
      </c>
      <c r="I685" t="s">
        <v>835</v>
      </c>
      <c r="L685">
        <v>276094100194031</v>
      </c>
    </row>
    <row r="686" spans="2:12" ht="12.75">
      <c r="B686">
        <v>2715</v>
      </c>
      <c r="C686" t="s">
        <v>2660</v>
      </c>
      <c r="D686" t="s">
        <v>207</v>
      </c>
      <c r="E686" t="s">
        <v>1876</v>
      </c>
      <c r="F686" t="s">
        <v>2661</v>
      </c>
      <c r="G686" s="475" t="s">
        <v>1931</v>
      </c>
      <c r="H686" s="475" t="s">
        <v>2662</v>
      </c>
      <c r="I686" t="s">
        <v>836</v>
      </c>
      <c r="J686" t="s">
        <v>2663</v>
      </c>
      <c r="L686">
        <v>276098104886971</v>
      </c>
    </row>
    <row r="687" spans="2:12" ht="12.75">
      <c r="B687">
        <v>2717</v>
      </c>
      <c r="C687" t="s">
        <v>2664</v>
      </c>
      <c r="D687" t="s">
        <v>266</v>
      </c>
      <c r="E687" t="s">
        <v>886</v>
      </c>
      <c r="F687" t="s">
        <v>409</v>
      </c>
      <c r="G687" s="475" t="s">
        <v>2665</v>
      </c>
      <c r="H687" s="475" t="s">
        <v>2666</v>
      </c>
      <c r="I687" t="s">
        <v>835</v>
      </c>
      <c r="J687" t="s">
        <v>2667</v>
      </c>
      <c r="L687">
        <v>276098104348131</v>
      </c>
    </row>
    <row r="688" spans="2:12" ht="12.75">
      <c r="B688">
        <v>2718</v>
      </c>
      <c r="C688" t="s">
        <v>590</v>
      </c>
      <c r="D688" t="s">
        <v>191</v>
      </c>
      <c r="E688" t="s">
        <v>931</v>
      </c>
      <c r="F688" t="s">
        <v>2668</v>
      </c>
      <c r="G688" s="475" t="s">
        <v>1500</v>
      </c>
      <c r="H688" s="475" t="s">
        <v>2669</v>
      </c>
      <c r="I688">
        <v>9304</v>
      </c>
      <c r="L688">
        <v>276098104512698</v>
      </c>
    </row>
    <row r="689" spans="2:12" ht="12.75">
      <c r="B689">
        <v>2719</v>
      </c>
      <c r="C689" t="s">
        <v>2670</v>
      </c>
      <c r="D689" t="s">
        <v>707</v>
      </c>
      <c r="E689" t="s">
        <v>1876</v>
      </c>
      <c r="F689" t="s">
        <v>767</v>
      </c>
      <c r="G689" s="475" t="s">
        <v>2671</v>
      </c>
      <c r="H689" s="475" t="s">
        <v>2672</v>
      </c>
      <c r="I689" t="s">
        <v>836</v>
      </c>
      <c r="L689">
        <v>945000001710037</v>
      </c>
    </row>
    <row r="690" spans="2:12" ht="12.75">
      <c r="B690">
        <v>2720</v>
      </c>
      <c r="C690" t="s">
        <v>2673</v>
      </c>
      <c r="D690" t="s">
        <v>347</v>
      </c>
      <c r="E690" t="s">
        <v>1876</v>
      </c>
      <c r="F690" t="s">
        <v>281</v>
      </c>
      <c r="G690" s="475" t="s">
        <v>2674</v>
      </c>
      <c r="H690" s="475" t="s">
        <v>2675</v>
      </c>
      <c r="I690" t="s">
        <v>836</v>
      </c>
      <c r="L690">
        <v>276098104416326</v>
      </c>
    </row>
    <row r="691" spans="2:12" ht="12.75">
      <c r="B691">
        <v>2721</v>
      </c>
      <c r="C691" t="s">
        <v>2676</v>
      </c>
      <c r="D691" t="s">
        <v>347</v>
      </c>
      <c r="E691" t="s">
        <v>1876</v>
      </c>
      <c r="F691" t="s">
        <v>281</v>
      </c>
      <c r="G691" s="475" t="s">
        <v>2677</v>
      </c>
      <c r="H691" s="475" t="s">
        <v>2678</v>
      </c>
      <c r="I691" t="s">
        <v>836</v>
      </c>
      <c r="L691">
        <v>276098104418152</v>
      </c>
    </row>
    <row r="692" spans="2:12" ht="12.75">
      <c r="B692">
        <v>2722</v>
      </c>
      <c r="C692" t="s">
        <v>316</v>
      </c>
      <c r="D692" t="s">
        <v>207</v>
      </c>
      <c r="E692" t="s">
        <v>1876</v>
      </c>
      <c r="F692" t="s">
        <v>294</v>
      </c>
      <c r="G692" s="475" t="s">
        <v>2679</v>
      </c>
      <c r="H692" s="475" t="s">
        <v>2680</v>
      </c>
      <c r="I692" t="s">
        <v>836</v>
      </c>
      <c r="J692" t="s">
        <v>1834</v>
      </c>
      <c r="L692">
        <v>123456789101112</v>
      </c>
    </row>
    <row r="693" spans="2:12" ht="12.75">
      <c r="B693">
        <v>2723</v>
      </c>
      <c r="C693" t="s">
        <v>639</v>
      </c>
      <c r="D693" t="s">
        <v>246</v>
      </c>
      <c r="E693" t="s">
        <v>1876</v>
      </c>
      <c r="F693" t="s">
        <v>510</v>
      </c>
      <c r="G693" s="475" t="s">
        <v>2679</v>
      </c>
      <c r="H693" s="475" t="s">
        <v>2680</v>
      </c>
      <c r="I693" t="s">
        <v>836</v>
      </c>
      <c r="L693">
        <v>123456789101112</v>
      </c>
    </row>
    <row r="694" spans="2:12" ht="12.75">
      <c r="B694">
        <v>2724</v>
      </c>
      <c r="C694" t="s">
        <v>2681</v>
      </c>
      <c r="D694" t="s">
        <v>424</v>
      </c>
      <c r="E694" t="s">
        <v>1876</v>
      </c>
      <c r="F694" t="s">
        <v>2682</v>
      </c>
      <c r="G694" s="475" t="s">
        <v>2679</v>
      </c>
      <c r="H694" s="475" t="s">
        <v>2680</v>
      </c>
      <c r="I694" t="s">
        <v>836</v>
      </c>
      <c r="L694">
        <v>123456789101112</v>
      </c>
    </row>
    <row r="695" spans="2:12" ht="12.75">
      <c r="B695">
        <v>2726</v>
      </c>
      <c r="C695" t="s">
        <v>821</v>
      </c>
      <c r="D695" t="s">
        <v>103</v>
      </c>
      <c r="E695" t="s">
        <v>886</v>
      </c>
      <c r="F695" t="s">
        <v>1354</v>
      </c>
      <c r="G695" s="475" t="s">
        <v>1082</v>
      </c>
      <c r="H695" s="475" t="s">
        <v>1364</v>
      </c>
      <c r="I695" t="s">
        <v>835</v>
      </c>
      <c r="J695" t="s">
        <v>2683</v>
      </c>
      <c r="L695">
        <v>276098102807375</v>
      </c>
    </row>
    <row r="696" spans="2:12" ht="12.75">
      <c r="B696">
        <v>2727</v>
      </c>
      <c r="C696" t="s">
        <v>2684</v>
      </c>
      <c r="D696" t="s">
        <v>103</v>
      </c>
      <c r="E696" t="s">
        <v>1876</v>
      </c>
      <c r="F696" t="s">
        <v>2685</v>
      </c>
      <c r="G696" s="475" t="s">
        <v>2686</v>
      </c>
      <c r="H696" s="475" t="s">
        <v>2687</v>
      </c>
      <c r="I696" t="s">
        <v>836</v>
      </c>
      <c r="J696" t="s">
        <v>2688</v>
      </c>
      <c r="L696">
        <v>276098106120063</v>
      </c>
    </row>
    <row r="697" spans="2:12" ht="12.75">
      <c r="B697">
        <v>2728</v>
      </c>
      <c r="C697" t="s">
        <v>2689</v>
      </c>
      <c r="D697" t="s">
        <v>1707</v>
      </c>
      <c r="E697" t="s">
        <v>903</v>
      </c>
      <c r="F697" t="s">
        <v>572</v>
      </c>
      <c r="G697" s="475" t="s">
        <v>2690</v>
      </c>
      <c r="H697" s="475" t="s">
        <v>1271</v>
      </c>
      <c r="I697">
        <v>8706</v>
      </c>
      <c r="J697" t="s">
        <v>2691</v>
      </c>
      <c r="L697">
        <v>276094500387290</v>
      </c>
    </row>
    <row r="698" spans="2:12" ht="12.75">
      <c r="B698">
        <v>2729</v>
      </c>
      <c r="C698" t="s">
        <v>2692</v>
      </c>
      <c r="D698" t="s">
        <v>2693</v>
      </c>
      <c r="E698" t="s">
        <v>1876</v>
      </c>
      <c r="F698" t="s">
        <v>2694</v>
      </c>
      <c r="G698" s="475" t="s">
        <v>2695</v>
      </c>
      <c r="H698" s="475" t="s">
        <v>1624</v>
      </c>
      <c r="I698" t="s">
        <v>836</v>
      </c>
      <c r="J698" t="s">
        <v>2065</v>
      </c>
      <c r="L698">
        <v>276095610072489</v>
      </c>
    </row>
    <row r="699" spans="2:12" ht="12.75">
      <c r="B699">
        <v>2730</v>
      </c>
      <c r="C699" t="s">
        <v>2696</v>
      </c>
      <c r="D699" t="s">
        <v>240</v>
      </c>
      <c r="E699" t="s">
        <v>1876</v>
      </c>
      <c r="F699" t="s">
        <v>2013</v>
      </c>
      <c r="G699" s="475" t="s">
        <v>2697</v>
      </c>
      <c r="H699" s="475" t="s">
        <v>2698</v>
      </c>
      <c r="I699" t="s">
        <v>836</v>
      </c>
      <c r="J699" t="s">
        <v>2699</v>
      </c>
      <c r="L699">
        <v>276098104897574</v>
      </c>
    </row>
    <row r="700" spans="2:12" ht="12.75">
      <c r="B700">
        <v>2731</v>
      </c>
      <c r="C700" t="s">
        <v>2700</v>
      </c>
      <c r="D700" t="s">
        <v>126</v>
      </c>
      <c r="E700" t="s">
        <v>1876</v>
      </c>
      <c r="F700" t="s">
        <v>148</v>
      </c>
      <c r="G700" s="475" t="s">
        <v>2160</v>
      </c>
      <c r="H700" s="475" t="s">
        <v>2701</v>
      </c>
      <c r="I700" t="s">
        <v>836</v>
      </c>
      <c r="J700" t="s">
        <v>618</v>
      </c>
      <c r="L700">
        <v>276095610042393</v>
      </c>
    </row>
    <row r="701" spans="2:12" ht="12.75">
      <c r="B701">
        <v>2732</v>
      </c>
      <c r="C701" t="s">
        <v>2702</v>
      </c>
      <c r="D701" t="s">
        <v>310</v>
      </c>
      <c r="E701" t="s">
        <v>886</v>
      </c>
      <c r="F701" t="s">
        <v>2703</v>
      </c>
      <c r="G701" s="475" t="s">
        <v>2704</v>
      </c>
      <c r="H701" s="475" t="s">
        <v>1841</v>
      </c>
      <c r="I701" t="s">
        <v>835</v>
      </c>
      <c r="J701" t="s">
        <v>2705</v>
      </c>
      <c r="L701">
        <v>276098106101099</v>
      </c>
    </row>
    <row r="702" spans="2:12" ht="12.75">
      <c r="B702">
        <v>2733</v>
      </c>
      <c r="C702" t="s">
        <v>2706</v>
      </c>
      <c r="D702" t="s">
        <v>2707</v>
      </c>
      <c r="E702" t="s">
        <v>1876</v>
      </c>
      <c r="F702" t="s">
        <v>2708</v>
      </c>
      <c r="G702" s="475" t="s">
        <v>2709</v>
      </c>
      <c r="H702" s="475" t="s">
        <v>2215</v>
      </c>
      <c r="I702" t="s">
        <v>836</v>
      </c>
      <c r="J702" t="s">
        <v>2710</v>
      </c>
      <c r="L702">
        <v>276093400220473</v>
      </c>
    </row>
    <row r="703" spans="2:12" ht="12.75">
      <c r="B703">
        <v>2734</v>
      </c>
      <c r="C703" t="s">
        <v>249</v>
      </c>
      <c r="D703" t="s">
        <v>551</v>
      </c>
      <c r="E703" t="s">
        <v>1876</v>
      </c>
      <c r="F703" t="s">
        <v>2711</v>
      </c>
      <c r="G703" s="475" t="s">
        <v>2712</v>
      </c>
      <c r="H703" s="475" t="s">
        <v>2713</v>
      </c>
      <c r="I703" t="s">
        <v>836</v>
      </c>
      <c r="J703" t="s">
        <v>2714</v>
      </c>
      <c r="L703">
        <v>276097202118338</v>
      </c>
    </row>
    <row r="704" spans="2:12" ht="12.75">
      <c r="B704">
        <v>2735</v>
      </c>
      <c r="C704" t="s">
        <v>804</v>
      </c>
      <c r="D704" t="s">
        <v>240</v>
      </c>
      <c r="E704" t="s">
        <v>1876</v>
      </c>
      <c r="F704" t="s">
        <v>267</v>
      </c>
      <c r="G704" s="475" t="s">
        <v>2715</v>
      </c>
      <c r="H704" s="475" t="s">
        <v>2716</v>
      </c>
      <c r="I704" t="s">
        <v>836</v>
      </c>
      <c r="J704" t="s">
        <v>1012</v>
      </c>
      <c r="L704">
        <v>276097200951250</v>
      </c>
    </row>
    <row r="705" spans="2:12" ht="12.75">
      <c r="B705">
        <v>2736</v>
      </c>
      <c r="C705" t="s">
        <v>150</v>
      </c>
      <c r="D705" t="s">
        <v>492</v>
      </c>
      <c r="E705" t="s">
        <v>886</v>
      </c>
      <c r="F705" t="s">
        <v>2565</v>
      </c>
      <c r="G705" s="475" t="s">
        <v>2717</v>
      </c>
      <c r="H705" s="475" t="s">
        <v>2457</v>
      </c>
      <c r="I705" t="s">
        <v>835</v>
      </c>
      <c r="J705" t="s">
        <v>2718</v>
      </c>
      <c r="L705">
        <v>276098104750087</v>
      </c>
    </row>
    <row r="706" spans="2:12" ht="12.75">
      <c r="B706">
        <v>2737</v>
      </c>
      <c r="C706" t="s">
        <v>2719</v>
      </c>
      <c r="D706" t="s">
        <v>337</v>
      </c>
      <c r="E706" t="s">
        <v>1876</v>
      </c>
      <c r="F706" t="s">
        <v>664</v>
      </c>
      <c r="G706" s="475" t="s">
        <v>2720</v>
      </c>
      <c r="H706" s="475" t="s">
        <v>2721</v>
      </c>
      <c r="I706" t="s">
        <v>836</v>
      </c>
      <c r="J706" t="s">
        <v>2722</v>
      </c>
      <c r="L706">
        <v>276098104990522</v>
      </c>
    </row>
    <row r="707" spans="2:12" ht="12.75">
      <c r="B707">
        <v>2738</v>
      </c>
      <c r="C707" t="s">
        <v>2723</v>
      </c>
      <c r="D707" t="s">
        <v>240</v>
      </c>
      <c r="E707" t="s">
        <v>1876</v>
      </c>
      <c r="F707" t="s">
        <v>213</v>
      </c>
      <c r="G707" s="475" t="s">
        <v>2724</v>
      </c>
      <c r="H707" s="475" t="s">
        <v>2725</v>
      </c>
      <c r="I707" t="s">
        <v>836</v>
      </c>
      <c r="J707" t="s">
        <v>2726</v>
      </c>
      <c r="L707">
        <v>276095610107520</v>
      </c>
    </row>
    <row r="708" spans="2:12" ht="12.75">
      <c r="B708">
        <v>2739</v>
      </c>
      <c r="C708" t="s">
        <v>280</v>
      </c>
      <c r="D708" t="s">
        <v>2727</v>
      </c>
      <c r="E708" t="s">
        <v>886</v>
      </c>
      <c r="F708" t="s">
        <v>677</v>
      </c>
      <c r="G708" s="475" t="s">
        <v>2728</v>
      </c>
      <c r="H708" s="475" t="s">
        <v>1240</v>
      </c>
      <c r="I708" t="s">
        <v>835</v>
      </c>
      <c r="J708" t="s">
        <v>2729</v>
      </c>
      <c r="L708">
        <v>276093400344066</v>
      </c>
    </row>
    <row r="709" spans="2:12" ht="12.75">
      <c r="B709">
        <v>2740</v>
      </c>
      <c r="C709" t="s">
        <v>2730</v>
      </c>
      <c r="D709" t="s">
        <v>224</v>
      </c>
      <c r="E709" t="s">
        <v>886</v>
      </c>
      <c r="F709" t="s">
        <v>256</v>
      </c>
      <c r="G709" s="475" t="s">
        <v>2731</v>
      </c>
      <c r="H709" s="475" t="s">
        <v>2732</v>
      </c>
      <c r="I709" t="s">
        <v>835</v>
      </c>
      <c r="J709" t="s">
        <v>634</v>
      </c>
      <c r="L709">
        <v>945000001220700</v>
      </c>
    </row>
    <row r="710" spans="2:12" ht="12.75">
      <c r="B710">
        <v>2741</v>
      </c>
      <c r="C710" t="s">
        <v>149</v>
      </c>
      <c r="D710" t="s">
        <v>424</v>
      </c>
      <c r="E710" t="s">
        <v>886</v>
      </c>
      <c r="F710" t="s">
        <v>412</v>
      </c>
      <c r="G710" s="475" t="s">
        <v>2733</v>
      </c>
      <c r="H710" s="475" t="s">
        <v>907</v>
      </c>
      <c r="I710" t="s">
        <v>835</v>
      </c>
      <c r="J710" t="s">
        <v>2734</v>
      </c>
      <c r="L710">
        <v>276098106101518</v>
      </c>
    </row>
    <row r="711" spans="2:12" ht="12.75">
      <c r="B711">
        <v>2742</v>
      </c>
      <c r="C711" t="s">
        <v>2735</v>
      </c>
      <c r="D711" t="s">
        <v>103</v>
      </c>
      <c r="E711" t="s">
        <v>886</v>
      </c>
      <c r="F711" t="s">
        <v>2736</v>
      </c>
      <c r="G711" s="475" t="s">
        <v>2018</v>
      </c>
      <c r="H711" s="475" t="s">
        <v>1804</v>
      </c>
      <c r="I711" t="s">
        <v>835</v>
      </c>
      <c r="L711">
        <v>276098104800074</v>
      </c>
    </row>
    <row r="712" spans="2:12" ht="12.75">
      <c r="B712">
        <v>2743</v>
      </c>
      <c r="C712" t="s">
        <v>223</v>
      </c>
      <c r="D712" t="s">
        <v>126</v>
      </c>
      <c r="E712" t="s">
        <v>886</v>
      </c>
      <c r="F712" t="s">
        <v>744</v>
      </c>
      <c r="G712" s="475" t="s">
        <v>2737</v>
      </c>
      <c r="H712" s="475" t="s">
        <v>2738</v>
      </c>
      <c r="I712" t="s">
        <v>835</v>
      </c>
      <c r="J712" t="s">
        <v>2739</v>
      </c>
      <c r="L712">
        <v>276095610003968</v>
      </c>
    </row>
    <row r="713" spans="2:12" ht="12.75">
      <c r="B713">
        <v>2744</v>
      </c>
      <c r="C713" t="s">
        <v>2740</v>
      </c>
      <c r="D713" t="s">
        <v>214</v>
      </c>
      <c r="E713" t="s">
        <v>1876</v>
      </c>
      <c r="F713" t="s">
        <v>218</v>
      </c>
      <c r="G713" s="475" t="s">
        <v>2741</v>
      </c>
      <c r="H713" s="475" t="s">
        <v>1904</v>
      </c>
      <c r="I713" t="s">
        <v>836</v>
      </c>
      <c r="J713" t="s">
        <v>2260</v>
      </c>
      <c r="L713">
        <v>276098106200922</v>
      </c>
    </row>
    <row r="714" spans="2:12" ht="12.75">
      <c r="B714">
        <v>2745</v>
      </c>
      <c r="C714" t="s">
        <v>2742</v>
      </c>
      <c r="D714" t="s">
        <v>126</v>
      </c>
      <c r="E714" t="s">
        <v>886</v>
      </c>
      <c r="F714" t="s">
        <v>378</v>
      </c>
      <c r="G714" s="475" t="s">
        <v>2743</v>
      </c>
      <c r="H714" s="475" t="s">
        <v>2744</v>
      </c>
      <c r="I714" t="s">
        <v>835</v>
      </c>
      <c r="J714" t="s">
        <v>1890</v>
      </c>
      <c r="L714">
        <v>276095610121191</v>
      </c>
    </row>
    <row r="715" spans="2:12" ht="12.75">
      <c r="B715">
        <v>2746</v>
      </c>
      <c r="C715" t="s">
        <v>2745</v>
      </c>
      <c r="D715" t="s">
        <v>126</v>
      </c>
      <c r="E715" t="s">
        <v>886</v>
      </c>
      <c r="F715" t="s">
        <v>414</v>
      </c>
      <c r="G715" s="475" t="s">
        <v>2746</v>
      </c>
      <c r="H715" s="475" t="s">
        <v>2747</v>
      </c>
      <c r="I715" t="s">
        <v>835</v>
      </c>
      <c r="J715" t="s">
        <v>2748</v>
      </c>
      <c r="L715">
        <v>276097209091759</v>
      </c>
    </row>
    <row r="716" spans="2:12" ht="12.75">
      <c r="B716">
        <v>2747</v>
      </c>
      <c r="C716" t="s">
        <v>466</v>
      </c>
      <c r="D716" t="s">
        <v>191</v>
      </c>
      <c r="E716" t="s">
        <v>1876</v>
      </c>
      <c r="F716" t="s">
        <v>252</v>
      </c>
      <c r="G716" s="475" t="s">
        <v>2243</v>
      </c>
      <c r="H716" s="475" t="s">
        <v>2542</v>
      </c>
      <c r="I716" t="s">
        <v>836</v>
      </c>
      <c r="J716" t="s">
        <v>2749</v>
      </c>
      <c r="L716">
        <v>276094500119023</v>
      </c>
    </row>
    <row r="717" spans="2:12" ht="12.75">
      <c r="B717">
        <v>2748</v>
      </c>
      <c r="C717" t="s">
        <v>2750</v>
      </c>
      <c r="D717" t="s">
        <v>347</v>
      </c>
      <c r="E717" t="s">
        <v>886</v>
      </c>
      <c r="F717" t="s">
        <v>227</v>
      </c>
      <c r="G717" s="475" t="s">
        <v>2697</v>
      </c>
      <c r="H717" s="475" t="s">
        <v>2751</v>
      </c>
      <c r="I717" t="s">
        <v>835</v>
      </c>
      <c r="J717" t="s">
        <v>2752</v>
      </c>
      <c r="L717">
        <v>276095610032232</v>
      </c>
    </row>
    <row r="718" spans="2:12" ht="12.75">
      <c r="B718">
        <v>2749</v>
      </c>
      <c r="C718" t="s">
        <v>2753</v>
      </c>
      <c r="D718" t="s">
        <v>790</v>
      </c>
      <c r="E718" t="s">
        <v>1876</v>
      </c>
      <c r="F718" t="s">
        <v>189</v>
      </c>
      <c r="G718" s="475" t="s">
        <v>2754</v>
      </c>
      <c r="H718" s="475" t="s">
        <v>2751</v>
      </c>
      <c r="I718" t="s">
        <v>836</v>
      </c>
      <c r="J718" t="s">
        <v>2755</v>
      </c>
      <c r="L718">
        <v>276098104681617</v>
      </c>
    </row>
    <row r="719" spans="2:12" ht="12.75">
      <c r="B719">
        <v>2750</v>
      </c>
      <c r="C719" t="s">
        <v>2756</v>
      </c>
      <c r="D719" t="s">
        <v>122</v>
      </c>
      <c r="E719" t="s">
        <v>1876</v>
      </c>
      <c r="F719" t="s">
        <v>272</v>
      </c>
      <c r="G719" s="475" t="s">
        <v>2757</v>
      </c>
      <c r="H719" s="475" t="s">
        <v>2758</v>
      </c>
      <c r="I719" t="s">
        <v>836</v>
      </c>
      <c r="J719" t="s">
        <v>755</v>
      </c>
      <c r="L719">
        <v>276098106063377</v>
      </c>
    </row>
    <row r="720" spans="2:12" ht="12.75">
      <c r="B720">
        <v>2751</v>
      </c>
      <c r="C720" t="s">
        <v>125</v>
      </c>
      <c r="D720" t="s">
        <v>131</v>
      </c>
      <c r="E720" t="s">
        <v>1876</v>
      </c>
      <c r="F720" t="s">
        <v>2759</v>
      </c>
      <c r="G720" s="475" t="s">
        <v>2760</v>
      </c>
      <c r="H720" s="475" t="s">
        <v>979</v>
      </c>
      <c r="I720" t="s">
        <v>836</v>
      </c>
      <c r="J720" t="s">
        <v>2761</v>
      </c>
      <c r="L720">
        <v>981100002545659</v>
      </c>
    </row>
    <row r="721" spans="2:12" ht="12.75">
      <c r="B721">
        <v>2752</v>
      </c>
      <c r="C721" t="s">
        <v>2762</v>
      </c>
      <c r="D721" t="s">
        <v>126</v>
      </c>
      <c r="E721" t="s">
        <v>1876</v>
      </c>
      <c r="F721" t="s">
        <v>2274</v>
      </c>
      <c r="G721" s="475" t="s">
        <v>2763</v>
      </c>
      <c r="H721" s="475" t="s">
        <v>2296</v>
      </c>
      <c r="I721" t="s">
        <v>836</v>
      </c>
      <c r="J721" t="s">
        <v>2764</v>
      </c>
      <c r="L721">
        <v>276095610180017</v>
      </c>
    </row>
    <row r="722" spans="2:12" ht="12.75">
      <c r="B722">
        <v>2753</v>
      </c>
      <c r="C722" t="s">
        <v>708</v>
      </c>
      <c r="D722" t="s">
        <v>266</v>
      </c>
      <c r="E722" t="s">
        <v>886</v>
      </c>
      <c r="F722" t="s">
        <v>110</v>
      </c>
      <c r="G722" s="475" t="s">
        <v>2765</v>
      </c>
      <c r="H722" s="475" t="s">
        <v>1446</v>
      </c>
      <c r="I722" t="s">
        <v>835</v>
      </c>
      <c r="J722" t="s">
        <v>2766</v>
      </c>
      <c r="L722">
        <v>276095610118196</v>
      </c>
    </row>
    <row r="723" spans="2:12" ht="12.75">
      <c r="B723">
        <v>2754</v>
      </c>
      <c r="C723" t="s">
        <v>2767</v>
      </c>
      <c r="D723" t="s">
        <v>266</v>
      </c>
      <c r="E723" t="s">
        <v>886</v>
      </c>
      <c r="F723" t="s">
        <v>291</v>
      </c>
      <c r="G723" s="475" t="s">
        <v>2765</v>
      </c>
      <c r="H723" s="475" t="s">
        <v>2344</v>
      </c>
      <c r="I723" t="s">
        <v>835</v>
      </c>
      <c r="J723" t="s">
        <v>2768</v>
      </c>
      <c r="L723">
        <v>276095610114246</v>
      </c>
    </row>
    <row r="724" spans="2:12" ht="12.75">
      <c r="B724">
        <v>2755</v>
      </c>
      <c r="C724" t="s">
        <v>2769</v>
      </c>
      <c r="D724" t="s">
        <v>103</v>
      </c>
      <c r="E724" t="s">
        <v>1876</v>
      </c>
      <c r="F724" t="s">
        <v>216</v>
      </c>
      <c r="G724" s="475" t="s">
        <v>2248</v>
      </c>
      <c r="H724" s="475" t="s">
        <v>2770</v>
      </c>
      <c r="I724" t="s">
        <v>836</v>
      </c>
      <c r="J724" t="s">
        <v>2771</v>
      </c>
      <c r="L724">
        <v>276098007158296</v>
      </c>
    </row>
    <row r="725" spans="2:12" ht="12.75">
      <c r="B725">
        <v>2756</v>
      </c>
      <c r="C725" t="s">
        <v>2772</v>
      </c>
      <c r="D725" t="s">
        <v>126</v>
      </c>
      <c r="E725" t="s">
        <v>886</v>
      </c>
      <c r="F725" t="s">
        <v>2376</v>
      </c>
      <c r="G725" s="475" t="s">
        <v>1931</v>
      </c>
      <c r="H725" s="475" t="s">
        <v>1359</v>
      </c>
      <c r="I725" t="s">
        <v>835</v>
      </c>
      <c r="J725" t="s">
        <v>2379</v>
      </c>
      <c r="L725">
        <v>250268731099026</v>
      </c>
    </row>
    <row r="726" spans="2:12" ht="12.75">
      <c r="B726">
        <v>2757</v>
      </c>
      <c r="C726" t="s">
        <v>2773</v>
      </c>
      <c r="D726" t="s">
        <v>103</v>
      </c>
      <c r="E726" t="s">
        <v>886</v>
      </c>
      <c r="F726" t="s">
        <v>327</v>
      </c>
      <c r="G726" s="475" t="s">
        <v>2774</v>
      </c>
      <c r="H726" s="475" t="s">
        <v>2775</v>
      </c>
      <c r="I726" t="s">
        <v>835</v>
      </c>
      <c r="J726" t="s">
        <v>2776</v>
      </c>
      <c r="L726">
        <v>250269500537293</v>
      </c>
    </row>
    <row r="727" spans="2:12" ht="12.75">
      <c r="B727">
        <v>2758</v>
      </c>
      <c r="C727" t="s">
        <v>2777</v>
      </c>
      <c r="D727" t="s">
        <v>103</v>
      </c>
      <c r="E727" t="s">
        <v>1876</v>
      </c>
      <c r="F727" t="s">
        <v>327</v>
      </c>
      <c r="G727" s="475" t="s">
        <v>2778</v>
      </c>
      <c r="H727" s="475" t="s">
        <v>2775</v>
      </c>
      <c r="I727" t="s">
        <v>836</v>
      </c>
      <c r="J727" t="s">
        <v>2776</v>
      </c>
      <c r="L727">
        <v>250268731014004</v>
      </c>
    </row>
    <row r="728" spans="2:12" ht="12.75">
      <c r="B728">
        <v>2759</v>
      </c>
      <c r="C728" t="s">
        <v>2779</v>
      </c>
      <c r="D728" t="s">
        <v>103</v>
      </c>
      <c r="E728" t="s">
        <v>886</v>
      </c>
      <c r="F728" t="s">
        <v>2780</v>
      </c>
      <c r="G728" s="475" t="s">
        <v>2781</v>
      </c>
      <c r="H728" s="475" t="s">
        <v>2782</v>
      </c>
      <c r="I728" t="s">
        <v>835</v>
      </c>
      <c r="J728" t="s">
        <v>2776</v>
      </c>
      <c r="L728">
        <v>250268601041623</v>
      </c>
    </row>
    <row r="729" spans="2:12" ht="12.75">
      <c r="B729">
        <v>2760</v>
      </c>
      <c r="C729" t="s">
        <v>2783</v>
      </c>
      <c r="D729" t="s">
        <v>1847</v>
      </c>
      <c r="E729" t="s">
        <v>1876</v>
      </c>
      <c r="F729" t="s">
        <v>110</v>
      </c>
      <c r="G729" s="475" t="s">
        <v>2784</v>
      </c>
      <c r="H729" s="475" t="s">
        <v>2785</v>
      </c>
      <c r="I729" t="s">
        <v>836</v>
      </c>
      <c r="J729" t="s">
        <v>2786</v>
      </c>
      <c r="L729">
        <v>276098009112808</v>
      </c>
    </row>
    <row r="730" spans="2:12" ht="12.75">
      <c r="B730">
        <v>2761</v>
      </c>
      <c r="C730" t="s">
        <v>571</v>
      </c>
      <c r="D730" t="s">
        <v>154</v>
      </c>
      <c r="E730" t="s">
        <v>1876</v>
      </c>
      <c r="F730" t="s">
        <v>286</v>
      </c>
      <c r="G730" s="475" t="s">
        <v>2787</v>
      </c>
      <c r="H730" s="475" t="s">
        <v>2658</v>
      </c>
      <c r="I730" t="s">
        <v>836</v>
      </c>
      <c r="J730" t="s">
        <v>731</v>
      </c>
      <c r="L730">
        <v>276093400486692</v>
      </c>
    </row>
    <row r="731" spans="2:12" ht="12.75">
      <c r="B731">
        <v>2762</v>
      </c>
      <c r="C731" t="s">
        <v>2788</v>
      </c>
      <c r="D731" t="s">
        <v>422</v>
      </c>
      <c r="E731" t="s">
        <v>1876</v>
      </c>
      <c r="F731" t="s">
        <v>440</v>
      </c>
      <c r="G731" s="475" t="s">
        <v>2789</v>
      </c>
      <c r="H731" s="475" t="s">
        <v>2790</v>
      </c>
      <c r="I731" t="s">
        <v>836</v>
      </c>
      <c r="J731" t="s">
        <v>763</v>
      </c>
      <c r="L731">
        <v>276093400405758</v>
      </c>
    </row>
    <row r="732" spans="2:12" ht="12.75">
      <c r="B732">
        <v>2763</v>
      </c>
      <c r="C732" t="s">
        <v>2791</v>
      </c>
      <c r="D732" t="s">
        <v>784</v>
      </c>
      <c r="E732" t="s">
        <v>1876</v>
      </c>
      <c r="F732" t="s">
        <v>2792</v>
      </c>
      <c r="G732" s="475" t="s">
        <v>2793</v>
      </c>
      <c r="H732" s="475" t="s">
        <v>2384</v>
      </c>
      <c r="I732" t="s">
        <v>836</v>
      </c>
      <c r="J732" t="s">
        <v>2388</v>
      </c>
      <c r="L732">
        <v>250269810659544</v>
      </c>
    </row>
    <row r="733" spans="2:12" ht="12.75">
      <c r="B733">
        <v>2764</v>
      </c>
      <c r="C733" t="s">
        <v>2794</v>
      </c>
      <c r="D733" t="s">
        <v>2795</v>
      </c>
      <c r="E733" t="s">
        <v>1876</v>
      </c>
      <c r="F733" t="s">
        <v>2796</v>
      </c>
      <c r="G733" s="475" t="s">
        <v>2797</v>
      </c>
      <c r="H733" s="475" t="s">
        <v>2798</v>
      </c>
      <c r="I733" t="s">
        <v>836</v>
      </c>
      <c r="J733" t="s">
        <v>2385</v>
      </c>
      <c r="L733">
        <v>250268500756222</v>
      </c>
    </row>
    <row r="734" spans="2:12" ht="12.75">
      <c r="B734">
        <v>2765</v>
      </c>
      <c r="C734" t="s">
        <v>2799</v>
      </c>
      <c r="D734" t="s">
        <v>592</v>
      </c>
      <c r="E734" t="s">
        <v>886</v>
      </c>
      <c r="F734" t="s">
        <v>2800</v>
      </c>
      <c r="G734" s="475" t="s">
        <v>2801</v>
      </c>
      <c r="H734" s="475" t="s">
        <v>2802</v>
      </c>
      <c r="I734" t="s">
        <v>835</v>
      </c>
      <c r="J734" t="s">
        <v>2803</v>
      </c>
      <c r="L734">
        <v>250268731499853</v>
      </c>
    </row>
    <row r="735" spans="2:12" ht="12.75">
      <c r="B735">
        <v>2766</v>
      </c>
      <c r="C735" t="s">
        <v>2804</v>
      </c>
      <c r="D735" t="s">
        <v>126</v>
      </c>
      <c r="E735" t="s">
        <v>1876</v>
      </c>
      <c r="F735" t="s">
        <v>2805</v>
      </c>
      <c r="G735" s="475" t="s">
        <v>2806</v>
      </c>
      <c r="H735" s="475" t="s">
        <v>1656</v>
      </c>
      <c r="I735" t="s">
        <v>836</v>
      </c>
      <c r="J735" t="s">
        <v>262</v>
      </c>
      <c r="L735">
        <v>276096901236566</v>
      </c>
    </row>
    <row r="736" spans="2:12" ht="12.75">
      <c r="B736">
        <v>2767</v>
      </c>
      <c r="C736" t="s">
        <v>2807</v>
      </c>
      <c r="D736" t="s">
        <v>123</v>
      </c>
      <c r="E736" t="s">
        <v>1876</v>
      </c>
      <c r="F736" t="s">
        <v>2394</v>
      </c>
      <c r="G736" s="475" t="s">
        <v>2808</v>
      </c>
      <c r="H736" s="475" t="s">
        <v>2809</v>
      </c>
      <c r="I736" t="s">
        <v>836</v>
      </c>
      <c r="J736" t="s">
        <v>2810</v>
      </c>
      <c r="L736">
        <v>981000008666826</v>
      </c>
    </row>
    <row r="737" spans="2:12" ht="12.75">
      <c r="B737">
        <v>2768</v>
      </c>
      <c r="C737" t="s">
        <v>183</v>
      </c>
      <c r="D737" t="s">
        <v>103</v>
      </c>
      <c r="E737" t="s">
        <v>886</v>
      </c>
      <c r="F737" t="s">
        <v>242</v>
      </c>
      <c r="G737" s="475" t="s">
        <v>2811</v>
      </c>
      <c r="H737" s="475" t="s">
        <v>2812</v>
      </c>
      <c r="I737" t="s">
        <v>835</v>
      </c>
      <c r="J737" t="s">
        <v>2039</v>
      </c>
      <c r="L737">
        <v>276094100205856</v>
      </c>
    </row>
    <row r="738" spans="2:12" ht="12.75">
      <c r="B738">
        <v>2769</v>
      </c>
      <c r="C738" t="s">
        <v>282</v>
      </c>
      <c r="D738" t="s">
        <v>172</v>
      </c>
      <c r="E738" t="s">
        <v>1876</v>
      </c>
      <c r="F738" t="s">
        <v>2813</v>
      </c>
      <c r="G738" s="475" t="s">
        <v>2814</v>
      </c>
      <c r="H738" s="475" t="s">
        <v>997</v>
      </c>
      <c r="I738" t="s">
        <v>836</v>
      </c>
      <c r="J738" t="s">
        <v>2815</v>
      </c>
      <c r="L738">
        <v>276098104689271</v>
      </c>
    </row>
    <row r="739" spans="2:12" ht="12.75">
      <c r="B739">
        <v>2770</v>
      </c>
      <c r="C739" t="s">
        <v>239</v>
      </c>
      <c r="D739" t="s">
        <v>214</v>
      </c>
      <c r="E739" t="s">
        <v>886</v>
      </c>
      <c r="F739" t="s">
        <v>242</v>
      </c>
      <c r="G739" s="475" t="s">
        <v>2343</v>
      </c>
      <c r="H739" s="475" t="s">
        <v>2816</v>
      </c>
      <c r="I739" t="s">
        <v>835</v>
      </c>
      <c r="J739" t="s">
        <v>2320</v>
      </c>
      <c r="L739">
        <v>953010000132490</v>
      </c>
    </row>
    <row r="740" spans="2:12" ht="12.75">
      <c r="B740">
        <v>2771</v>
      </c>
      <c r="C740" t="s">
        <v>190</v>
      </c>
      <c r="D740" t="s">
        <v>191</v>
      </c>
      <c r="E740" t="s">
        <v>886</v>
      </c>
      <c r="F740" t="s">
        <v>2817</v>
      </c>
      <c r="G740" s="475" t="s">
        <v>2818</v>
      </c>
      <c r="H740" s="475" t="s">
        <v>2819</v>
      </c>
      <c r="I740" t="s">
        <v>835</v>
      </c>
      <c r="J740" t="s">
        <v>2820</v>
      </c>
      <c r="L740">
        <v>276098104271522</v>
      </c>
    </row>
    <row r="741" spans="2:12" ht="12.75">
      <c r="B741">
        <v>2772</v>
      </c>
      <c r="C741" t="s">
        <v>552</v>
      </c>
      <c r="D741" t="s">
        <v>320</v>
      </c>
      <c r="E741" t="s">
        <v>886</v>
      </c>
      <c r="F741" t="s">
        <v>2821</v>
      </c>
      <c r="G741" s="475" t="s">
        <v>2822</v>
      </c>
      <c r="H741" s="475" t="s">
        <v>2823</v>
      </c>
      <c r="I741" t="s">
        <v>835</v>
      </c>
      <c r="J741" t="s">
        <v>490</v>
      </c>
      <c r="L741">
        <v>276098104820772</v>
      </c>
    </row>
    <row r="742" spans="2:12" ht="12.75">
      <c r="B742">
        <v>2773</v>
      </c>
      <c r="C742" t="s">
        <v>2824</v>
      </c>
      <c r="D742" t="s">
        <v>191</v>
      </c>
      <c r="E742" t="s">
        <v>886</v>
      </c>
      <c r="F742" t="s">
        <v>2825</v>
      </c>
      <c r="G742" s="475" t="s">
        <v>2826</v>
      </c>
      <c r="H742" s="475" t="s">
        <v>2827</v>
      </c>
      <c r="I742" t="s">
        <v>835</v>
      </c>
      <c r="J742" t="s">
        <v>2828</v>
      </c>
      <c r="L742">
        <v>276098007133760</v>
      </c>
    </row>
    <row r="743" spans="2:12" ht="12.75">
      <c r="B743">
        <v>2774</v>
      </c>
      <c r="C743" t="s">
        <v>2829</v>
      </c>
      <c r="D743" t="s">
        <v>103</v>
      </c>
      <c r="E743" t="s">
        <v>886</v>
      </c>
      <c r="F743" t="s">
        <v>2830</v>
      </c>
      <c r="G743" s="475" t="s">
        <v>2831</v>
      </c>
      <c r="H743" s="475" t="s">
        <v>1789</v>
      </c>
      <c r="I743" t="s">
        <v>835</v>
      </c>
      <c r="J743" t="s">
        <v>2832</v>
      </c>
      <c r="L743">
        <v>250269810323251</v>
      </c>
    </row>
    <row r="744" spans="2:12" ht="12.75">
      <c r="B744">
        <v>2775</v>
      </c>
      <c r="C744" t="s">
        <v>2833</v>
      </c>
      <c r="D744" t="s">
        <v>1554</v>
      </c>
      <c r="E744" t="s">
        <v>1876</v>
      </c>
      <c r="F744" t="s">
        <v>2514</v>
      </c>
      <c r="G744" s="475" t="s">
        <v>2818</v>
      </c>
      <c r="H744" s="475" t="s">
        <v>2400</v>
      </c>
      <c r="I744" t="s">
        <v>836</v>
      </c>
      <c r="J744" t="s">
        <v>490</v>
      </c>
      <c r="L744">
        <v>250268500489175</v>
      </c>
    </row>
    <row r="745" spans="2:12" ht="12.75">
      <c r="B745">
        <v>2776</v>
      </c>
      <c r="C745" t="s">
        <v>2834</v>
      </c>
      <c r="D745" t="s">
        <v>492</v>
      </c>
      <c r="E745" t="s">
        <v>1876</v>
      </c>
      <c r="F745" t="s">
        <v>331</v>
      </c>
      <c r="G745" s="475" t="s">
        <v>2025</v>
      </c>
      <c r="H745" s="475" t="s">
        <v>2392</v>
      </c>
      <c r="I745" t="s">
        <v>836</v>
      </c>
      <c r="J745" t="s">
        <v>766</v>
      </c>
      <c r="L745">
        <v>276097202341273</v>
      </c>
    </row>
    <row r="746" spans="2:12" ht="12.75">
      <c r="B746">
        <v>2777</v>
      </c>
      <c r="C746" t="s">
        <v>152</v>
      </c>
      <c r="D746" t="s">
        <v>103</v>
      </c>
      <c r="E746" t="s">
        <v>886</v>
      </c>
      <c r="F746" t="s">
        <v>2835</v>
      </c>
      <c r="G746" s="475" t="s">
        <v>2167</v>
      </c>
      <c r="H746" s="475" t="s">
        <v>1789</v>
      </c>
      <c r="I746" t="s">
        <v>835</v>
      </c>
      <c r="J746" t="s">
        <v>2836</v>
      </c>
      <c r="L746">
        <v>250269810323212</v>
      </c>
    </row>
    <row r="747" spans="2:12" ht="12.75">
      <c r="B747">
        <v>2778</v>
      </c>
      <c r="C747" t="s">
        <v>443</v>
      </c>
      <c r="D747" t="s">
        <v>229</v>
      </c>
      <c r="E747" t="s">
        <v>1876</v>
      </c>
      <c r="F747" t="s">
        <v>516</v>
      </c>
      <c r="G747" s="475" t="s">
        <v>2837</v>
      </c>
      <c r="H747" s="475" t="s">
        <v>2838</v>
      </c>
      <c r="I747" t="s">
        <v>836</v>
      </c>
      <c r="J747" t="s">
        <v>2839</v>
      </c>
      <c r="L747">
        <v>276098104483309</v>
      </c>
    </row>
    <row r="748" spans="2:12" ht="12.75">
      <c r="B748">
        <v>2779</v>
      </c>
      <c r="C748" t="s">
        <v>108</v>
      </c>
      <c r="D748" t="s">
        <v>2840</v>
      </c>
      <c r="E748" t="s">
        <v>886</v>
      </c>
      <c r="F748" t="s">
        <v>330</v>
      </c>
      <c r="G748" s="475" t="s">
        <v>2841</v>
      </c>
      <c r="H748" s="475" t="s">
        <v>1919</v>
      </c>
      <c r="I748" t="s">
        <v>835</v>
      </c>
      <c r="J748" t="s">
        <v>2842</v>
      </c>
      <c r="L748">
        <v>276093400538832</v>
      </c>
    </row>
    <row r="749" spans="2:12" ht="12.75">
      <c r="B749">
        <v>2780</v>
      </c>
      <c r="C749" t="s">
        <v>2843</v>
      </c>
      <c r="D749" t="s">
        <v>103</v>
      </c>
      <c r="E749" t="s">
        <v>1876</v>
      </c>
      <c r="F749" t="s">
        <v>2844</v>
      </c>
      <c r="G749" s="475" t="s">
        <v>2845</v>
      </c>
      <c r="H749" s="475" t="s">
        <v>2846</v>
      </c>
      <c r="I749" t="s">
        <v>836</v>
      </c>
      <c r="J749" t="s">
        <v>2847</v>
      </c>
      <c r="L749">
        <v>276096100348569</v>
      </c>
    </row>
    <row r="750" spans="2:12" ht="12.75">
      <c r="B750">
        <v>2781</v>
      </c>
      <c r="C750" t="s">
        <v>249</v>
      </c>
      <c r="D750" t="s">
        <v>172</v>
      </c>
      <c r="E750" t="s">
        <v>886</v>
      </c>
      <c r="F750" t="s">
        <v>423</v>
      </c>
      <c r="G750" s="475" t="s">
        <v>2848</v>
      </c>
      <c r="H750" s="475" t="s">
        <v>2849</v>
      </c>
      <c r="I750" t="s">
        <v>835</v>
      </c>
      <c r="J750" t="s">
        <v>2406</v>
      </c>
      <c r="L750">
        <v>900096000128244</v>
      </c>
    </row>
    <row r="751" spans="2:12" ht="12.75">
      <c r="B751">
        <v>2782</v>
      </c>
      <c r="C751" t="s">
        <v>435</v>
      </c>
      <c r="D751" t="s">
        <v>250</v>
      </c>
      <c r="E751" t="s">
        <v>886</v>
      </c>
      <c r="F751" t="s">
        <v>423</v>
      </c>
      <c r="G751" s="475" t="s">
        <v>2850</v>
      </c>
      <c r="H751" s="475" t="s">
        <v>2015</v>
      </c>
      <c r="I751" t="s">
        <v>835</v>
      </c>
      <c r="J751" t="s">
        <v>733</v>
      </c>
      <c r="L751">
        <v>276093400537009</v>
      </c>
    </row>
    <row r="752" spans="2:12" ht="12.75">
      <c r="B752">
        <v>2783</v>
      </c>
      <c r="C752" t="s">
        <v>119</v>
      </c>
      <c r="D752" t="s">
        <v>126</v>
      </c>
      <c r="E752" t="s">
        <v>886</v>
      </c>
      <c r="F752" t="s">
        <v>340</v>
      </c>
      <c r="G752" s="475" t="s">
        <v>2851</v>
      </c>
      <c r="H752" s="475" t="s">
        <v>2852</v>
      </c>
      <c r="I752" t="s">
        <v>835</v>
      </c>
      <c r="J752" t="s">
        <v>270</v>
      </c>
      <c r="L752">
        <v>276094501038827</v>
      </c>
    </row>
    <row r="753" spans="2:12" ht="12.75">
      <c r="B753">
        <v>2784</v>
      </c>
      <c r="C753" t="s">
        <v>1680</v>
      </c>
      <c r="D753" t="s">
        <v>172</v>
      </c>
      <c r="E753" t="s">
        <v>886</v>
      </c>
      <c r="F753" t="s">
        <v>495</v>
      </c>
      <c r="G753" s="475" t="s">
        <v>2853</v>
      </c>
      <c r="H753" s="475" t="s">
        <v>2854</v>
      </c>
      <c r="I753" t="s">
        <v>835</v>
      </c>
      <c r="J753" t="s">
        <v>2855</v>
      </c>
      <c r="L753">
        <v>276098104460444</v>
      </c>
    </row>
    <row r="754" spans="2:12" ht="12.75">
      <c r="B754">
        <v>2785</v>
      </c>
      <c r="C754" t="s">
        <v>769</v>
      </c>
      <c r="D754" t="s">
        <v>2856</v>
      </c>
      <c r="E754" t="s">
        <v>886</v>
      </c>
      <c r="F754" t="s">
        <v>495</v>
      </c>
      <c r="G754" s="475" t="s">
        <v>2848</v>
      </c>
      <c r="H754" s="475" t="s">
        <v>2744</v>
      </c>
      <c r="I754" t="s">
        <v>835</v>
      </c>
      <c r="J754" t="s">
        <v>2855</v>
      </c>
      <c r="L754">
        <v>900096000128222</v>
      </c>
    </row>
    <row r="755" spans="2:12" ht="12.75">
      <c r="B755">
        <v>2786</v>
      </c>
      <c r="C755" t="s">
        <v>2857</v>
      </c>
      <c r="D755" t="s">
        <v>103</v>
      </c>
      <c r="E755" t="s">
        <v>886</v>
      </c>
      <c r="F755" t="s">
        <v>2858</v>
      </c>
      <c r="G755" s="475" t="s">
        <v>2859</v>
      </c>
      <c r="H755" s="475" t="s">
        <v>1101</v>
      </c>
      <c r="I755" t="s">
        <v>835</v>
      </c>
      <c r="J755" t="s">
        <v>2860</v>
      </c>
      <c r="L755">
        <v>250268500743416</v>
      </c>
    </row>
    <row r="756" spans="2:12" ht="12.75">
      <c r="B756">
        <v>2787</v>
      </c>
      <c r="C756" t="s">
        <v>2861</v>
      </c>
      <c r="D756" t="s">
        <v>2840</v>
      </c>
      <c r="E756" t="s">
        <v>886</v>
      </c>
      <c r="F756" t="s">
        <v>2858</v>
      </c>
      <c r="G756" s="475" t="s">
        <v>987</v>
      </c>
      <c r="H756" s="475" t="s">
        <v>2400</v>
      </c>
      <c r="I756" t="s">
        <v>835</v>
      </c>
      <c r="J756" t="s">
        <v>2860</v>
      </c>
      <c r="L756">
        <v>250268710345590</v>
      </c>
    </row>
    <row r="757" spans="2:12" ht="12.75">
      <c r="B757">
        <v>2788</v>
      </c>
      <c r="C757" t="s">
        <v>401</v>
      </c>
      <c r="D757" t="s">
        <v>2862</v>
      </c>
      <c r="E757" t="s">
        <v>886</v>
      </c>
      <c r="F757" t="s">
        <v>412</v>
      </c>
      <c r="G757" s="475" t="s">
        <v>2863</v>
      </c>
      <c r="H757" s="475" t="s">
        <v>2864</v>
      </c>
      <c r="I757" t="s">
        <v>835</v>
      </c>
      <c r="J757" t="s">
        <v>2865</v>
      </c>
      <c r="L757">
        <v>276098106057277</v>
      </c>
    </row>
    <row r="758" spans="2:12" ht="12.75">
      <c r="B758">
        <v>2789</v>
      </c>
      <c r="C758" t="s">
        <v>2866</v>
      </c>
      <c r="D758" t="s">
        <v>1627</v>
      </c>
      <c r="E758" t="s">
        <v>1876</v>
      </c>
      <c r="F758" t="s">
        <v>2858</v>
      </c>
      <c r="G758" s="475" t="s">
        <v>2867</v>
      </c>
      <c r="H758" s="475" t="s">
        <v>1101</v>
      </c>
      <c r="I758" t="s">
        <v>836</v>
      </c>
      <c r="J758" t="s">
        <v>2860</v>
      </c>
      <c r="L758">
        <v>250269810005006</v>
      </c>
    </row>
    <row r="759" spans="2:12" ht="12.75">
      <c r="B759">
        <v>2790</v>
      </c>
      <c r="C759" t="s">
        <v>265</v>
      </c>
      <c r="D759" t="s">
        <v>103</v>
      </c>
      <c r="E759" t="s">
        <v>1876</v>
      </c>
      <c r="F759" t="s">
        <v>1875</v>
      </c>
      <c r="G759" s="475" t="s">
        <v>2868</v>
      </c>
      <c r="H759" s="475" t="s">
        <v>2869</v>
      </c>
      <c r="I759" t="s">
        <v>836</v>
      </c>
      <c r="J759" t="s">
        <v>2656</v>
      </c>
      <c r="L759">
        <v>953000010263339</v>
      </c>
    </row>
    <row r="760" spans="2:12" ht="12.75">
      <c r="B760">
        <v>2791</v>
      </c>
      <c r="C760" t="s">
        <v>479</v>
      </c>
      <c r="D760" t="s">
        <v>103</v>
      </c>
      <c r="E760" t="s">
        <v>1876</v>
      </c>
      <c r="F760" t="s">
        <v>1875</v>
      </c>
      <c r="G760" s="475" t="s">
        <v>2870</v>
      </c>
      <c r="H760" s="475" t="s">
        <v>2871</v>
      </c>
      <c r="I760" t="s">
        <v>836</v>
      </c>
      <c r="J760" t="s">
        <v>2656</v>
      </c>
      <c r="L760">
        <v>276098104273934</v>
      </c>
    </row>
    <row r="761" spans="2:12" ht="12.75">
      <c r="B761">
        <v>2792</v>
      </c>
      <c r="C761" t="s">
        <v>127</v>
      </c>
      <c r="D761" t="s">
        <v>1847</v>
      </c>
      <c r="E761" t="s">
        <v>1876</v>
      </c>
      <c r="F761" t="s">
        <v>187</v>
      </c>
      <c r="G761" s="475" t="s">
        <v>2872</v>
      </c>
      <c r="H761" s="475" t="s">
        <v>2873</v>
      </c>
      <c r="I761" t="s">
        <v>836</v>
      </c>
      <c r="J761" t="s">
        <v>778</v>
      </c>
      <c r="L761">
        <v>276097202292107</v>
      </c>
    </row>
    <row r="762" spans="2:12" ht="12.75">
      <c r="B762">
        <v>2793</v>
      </c>
      <c r="C762" t="s">
        <v>125</v>
      </c>
      <c r="D762" t="s">
        <v>475</v>
      </c>
      <c r="E762" t="s">
        <v>886</v>
      </c>
      <c r="F762" t="s">
        <v>599</v>
      </c>
      <c r="G762" s="475" t="s">
        <v>2874</v>
      </c>
      <c r="H762" s="475" t="s">
        <v>1989</v>
      </c>
      <c r="I762" t="s">
        <v>835</v>
      </c>
      <c r="J762" t="s">
        <v>2875</v>
      </c>
      <c r="L762">
        <v>276098104354933</v>
      </c>
    </row>
    <row r="763" spans="2:12" ht="12.75">
      <c r="B763">
        <v>2794</v>
      </c>
      <c r="C763" t="s">
        <v>2876</v>
      </c>
      <c r="D763" t="s">
        <v>424</v>
      </c>
      <c r="E763" t="s">
        <v>886</v>
      </c>
      <c r="F763" t="s">
        <v>344</v>
      </c>
      <c r="G763" s="475" t="s">
        <v>2822</v>
      </c>
      <c r="H763" s="475" t="s">
        <v>1973</v>
      </c>
      <c r="I763" t="s">
        <v>835</v>
      </c>
      <c r="J763" t="s">
        <v>2877</v>
      </c>
      <c r="L763">
        <v>276098104773653</v>
      </c>
    </row>
    <row r="764" spans="2:12" ht="12.75">
      <c r="B764">
        <v>2795</v>
      </c>
      <c r="C764" t="s">
        <v>2878</v>
      </c>
      <c r="D764" t="s">
        <v>231</v>
      </c>
      <c r="E764" t="s">
        <v>886</v>
      </c>
      <c r="F764" t="s">
        <v>489</v>
      </c>
      <c r="G764" s="475" t="s">
        <v>2879</v>
      </c>
      <c r="H764" s="475" t="s">
        <v>2880</v>
      </c>
      <c r="I764" t="s">
        <v>835</v>
      </c>
      <c r="J764" t="s">
        <v>1518</v>
      </c>
      <c r="L764">
        <v>276096909309618</v>
      </c>
    </row>
    <row r="765" spans="2:12" ht="12.75">
      <c r="B765">
        <v>2796</v>
      </c>
      <c r="C765" t="s">
        <v>1729</v>
      </c>
      <c r="D765" t="s">
        <v>229</v>
      </c>
      <c r="E765" t="s">
        <v>1876</v>
      </c>
      <c r="F765" t="s">
        <v>2881</v>
      </c>
      <c r="G765" s="475" t="s">
        <v>2765</v>
      </c>
      <c r="H765" s="475" t="s">
        <v>1075</v>
      </c>
      <c r="I765" t="s">
        <v>836</v>
      </c>
      <c r="J765" t="s">
        <v>2882</v>
      </c>
      <c r="L765">
        <v>276096909169451</v>
      </c>
    </row>
    <row r="766" spans="2:12" ht="12.75">
      <c r="B766">
        <v>2797</v>
      </c>
      <c r="C766" t="s">
        <v>115</v>
      </c>
      <c r="D766" t="s">
        <v>103</v>
      </c>
      <c r="E766" t="s">
        <v>1876</v>
      </c>
      <c r="F766" t="s">
        <v>282</v>
      </c>
      <c r="G766" s="475" t="s">
        <v>2883</v>
      </c>
      <c r="H766" s="475" t="s">
        <v>999</v>
      </c>
      <c r="I766" t="s">
        <v>836</v>
      </c>
      <c r="J766" t="s">
        <v>283</v>
      </c>
      <c r="L766">
        <v>276098200049876</v>
      </c>
    </row>
    <row r="767" spans="2:12" ht="12.75">
      <c r="B767">
        <v>2798</v>
      </c>
      <c r="C767" t="s">
        <v>2884</v>
      </c>
      <c r="D767" t="s">
        <v>103</v>
      </c>
      <c r="E767" t="s">
        <v>886</v>
      </c>
      <c r="F767" t="s">
        <v>2503</v>
      </c>
      <c r="G767" s="475" t="s">
        <v>2480</v>
      </c>
      <c r="H767" s="475" t="s">
        <v>2885</v>
      </c>
      <c r="I767" t="s">
        <v>835</v>
      </c>
      <c r="J767" t="s">
        <v>2504</v>
      </c>
      <c r="L767">
        <v>250268712318033</v>
      </c>
    </row>
    <row r="768" spans="2:12" ht="12.75">
      <c r="B768">
        <v>2799</v>
      </c>
      <c r="C768" t="s">
        <v>2886</v>
      </c>
      <c r="D768" t="s">
        <v>103</v>
      </c>
      <c r="E768" t="s">
        <v>1876</v>
      </c>
      <c r="G768" s="475" t="s">
        <v>2480</v>
      </c>
      <c r="H768" s="475" t="s">
        <v>2887</v>
      </c>
      <c r="I768" t="s">
        <v>836</v>
      </c>
      <c r="L768">
        <v>250268712317039</v>
      </c>
    </row>
    <row r="769" spans="2:12" ht="12.75">
      <c r="B769">
        <v>2800</v>
      </c>
      <c r="C769" t="s">
        <v>2888</v>
      </c>
      <c r="D769" t="s">
        <v>111</v>
      </c>
      <c r="E769" t="s">
        <v>1876</v>
      </c>
      <c r="G769" s="475" t="s">
        <v>2889</v>
      </c>
      <c r="H769" s="475" t="s">
        <v>1993</v>
      </c>
      <c r="I769" t="s">
        <v>836</v>
      </c>
      <c r="L769">
        <v>250268601008694</v>
      </c>
    </row>
    <row r="770" spans="2:12" ht="12.75">
      <c r="B770">
        <v>2801</v>
      </c>
      <c r="C770" t="s">
        <v>2890</v>
      </c>
      <c r="D770" t="s">
        <v>347</v>
      </c>
      <c r="E770" t="s">
        <v>1876</v>
      </c>
      <c r="G770" s="475" t="s">
        <v>2891</v>
      </c>
      <c r="H770" s="475" t="s">
        <v>2892</v>
      </c>
      <c r="I770" t="s">
        <v>836</v>
      </c>
      <c r="L770">
        <v>250268731320282</v>
      </c>
    </row>
    <row r="771" spans="2:12" ht="12.75">
      <c r="B771">
        <v>2802</v>
      </c>
      <c r="C771" t="s">
        <v>2893</v>
      </c>
      <c r="D771" t="s">
        <v>103</v>
      </c>
      <c r="E771" t="s">
        <v>1876</v>
      </c>
      <c r="G771" s="475" t="s">
        <v>2894</v>
      </c>
      <c r="H771" s="475" t="s">
        <v>2895</v>
      </c>
      <c r="I771" t="s">
        <v>836</v>
      </c>
      <c r="L771">
        <v>250268500364375</v>
      </c>
    </row>
    <row r="772" spans="2:12" ht="12.75">
      <c r="B772">
        <v>2803</v>
      </c>
      <c r="C772" t="s">
        <v>2896</v>
      </c>
      <c r="D772" t="s">
        <v>103</v>
      </c>
      <c r="E772" t="s">
        <v>886</v>
      </c>
      <c r="F772" t="s">
        <v>599</v>
      </c>
      <c r="G772" s="475" t="s">
        <v>2624</v>
      </c>
      <c r="H772" s="475" t="s">
        <v>898</v>
      </c>
      <c r="I772" t="s">
        <v>835</v>
      </c>
      <c r="J772" t="s">
        <v>2897</v>
      </c>
      <c r="L772">
        <v>276098104947852</v>
      </c>
    </row>
    <row r="773" spans="2:12" ht="12.75">
      <c r="B773">
        <v>2804</v>
      </c>
      <c r="C773" t="s">
        <v>2898</v>
      </c>
      <c r="D773" t="s">
        <v>813</v>
      </c>
      <c r="E773" t="s">
        <v>886</v>
      </c>
      <c r="F773" t="s">
        <v>1699</v>
      </c>
      <c r="G773" s="475" t="s">
        <v>2899</v>
      </c>
      <c r="H773" s="475" t="s">
        <v>2900</v>
      </c>
      <c r="I773" t="s">
        <v>835</v>
      </c>
      <c r="J773" t="s">
        <v>509</v>
      </c>
      <c r="L773">
        <v>250269606558096</v>
      </c>
    </row>
    <row r="774" spans="2:12" ht="12.75">
      <c r="B774">
        <v>2805</v>
      </c>
      <c r="C774" t="s">
        <v>304</v>
      </c>
      <c r="D774" t="s">
        <v>229</v>
      </c>
      <c r="E774" t="s">
        <v>1876</v>
      </c>
      <c r="F774" t="s">
        <v>208</v>
      </c>
      <c r="G774" s="475" t="s">
        <v>2901</v>
      </c>
      <c r="H774" s="475" t="s">
        <v>2902</v>
      </c>
      <c r="I774" t="s">
        <v>836</v>
      </c>
      <c r="J774" t="s">
        <v>1781</v>
      </c>
      <c r="L774">
        <v>276098009101271</v>
      </c>
    </row>
    <row r="775" spans="2:12" ht="12.75">
      <c r="B775">
        <v>2806</v>
      </c>
      <c r="C775" t="s">
        <v>2903</v>
      </c>
      <c r="D775" t="s">
        <v>103</v>
      </c>
      <c r="E775" t="s">
        <v>1876</v>
      </c>
      <c r="G775" s="475" t="s">
        <v>2904</v>
      </c>
      <c r="H775" s="475" t="s">
        <v>2905</v>
      </c>
      <c r="I775" t="s">
        <v>836</v>
      </c>
      <c r="L775">
        <v>250268711117611</v>
      </c>
    </row>
    <row r="776" spans="2:12" ht="12.75">
      <c r="B776">
        <v>2807</v>
      </c>
      <c r="C776" t="s">
        <v>2906</v>
      </c>
      <c r="D776" t="s">
        <v>103</v>
      </c>
      <c r="E776" t="s">
        <v>1876</v>
      </c>
      <c r="F776" t="s">
        <v>2907</v>
      </c>
      <c r="G776" s="475" t="s">
        <v>2908</v>
      </c>
      <c r="H776" s="475" t="s">
        <v>1904</v>
      </c>
      <c r="I776" t="s">
        <v>836</v>
      </c>
      <c r="J776" t="s">
        <v>2909</v>
      </c>
      <c r="L776">
        <v>40096100110408</v>
      </c>
    </row>
    <row r="777" spans="2:12" ht="12.75">
      <c r="B777">
        <v>2808</v>
      </c>
      <c r="C777" t="s">
        <v>2910</v>
      </c>
      <c r="D777" t="s">
        <v>126</v>
      </c>
      <c r="E777" t="s">
        <v>1876</v>
      </c>
      <c r="F777" t="s">
        <v>481</v>
      </c>
      <c r="G777" s="475" t="s">
        <v>1117</v>
      </c>
      <c r="H777" s="475" t="s">
        <v>2911</v>
      </c>
      <c r="I777" t="s">
        <v>836</v>
      </c>
      <c r="J777" t="s">
        <v>2912</v>
      </c>
      <c r="L777">
        <v>40098100354864</v>
      </c>
    </row>
    <row r="778" spans="2:12" ht="12.75">
      <c r="B778">
        <v>2809</v>
      </c>
      <c r="C778" t="s">
        <v>2913</v>
      </c>
      <c r="D778" t="s">
        <v>172</v>
      </c>
      <c r="E778" t="s">
        <v>1876</v>
      </c>
      <c r="F778" t="s">
        <v>378</v>
      </c>
      <c r="G778" s="475" t="s">
        <v>1255</v>
      </c>
      <c r="H778" s="475" t="s">
        <v>2914</v>
      </c>
      <c r="I778" t="s">
        <v>836</v>
      </c>
      <c r="J778" t="s">
        <v>2915</v>
      </c>
      <c r="L778">
        <v>900182000754730</v>
      </c>
    </row>
    <row r="779" spans="2:12" ht="12.75">
      <c r="B779">
        <v>2810</v>
      </c>
      <c r="C779" t="s">
        <v>2916</v>
      </c>
      <c r="D779" t="s">
        <v>131</v>
      </c>
      <c r="E779" t="s">
        <v>886</v>
      </c>
      <c r="F779" t="s">
        <v>438</v>
      </c>
      <c r="G779" s="475" t="s">
        <v>1117</v>
      </c>
      <c r="H779" s="475" t="s">
        <v>2917</v>
      </c>
      <c r="I779" t="s">
        <v>835</v>
      </c>
      <c r="J779" t="s">
        <v>2918</v>
      </c>
      <c r="L779">
        <v>939000010197767</v>
      </c>
    </row>
    <row r="780" spans="2:12" ht="12.75">
      <c r="B780">
        <v>2811</v>
      </c>
      <c r="C780" t="s">
        <v>2919</v>
      </c>
      <c r="D780" t="s">
        <v>103</v>
      </c>
      <c r="E780" t="s">
        <v>1876</v>
      </c>
      <c r="F780" t="s">
        <v>225</v>
      </c>
      <c r="G780" s="475" t="s">
        <v>1117</v>
      </c>
      <c r="H780" s="475" t="s">
        <v>1686</v>
      </c>
      <c r="I780" t="s">
        <v>836</v>
      </c>
      <c r="J780" t="s">
        <v>2920</v>
      </c>
      <c r="L780">
        <v>40100000017849</v>
      </c>
    </row>
    <row r="781" spans="2:12" ht="12.75">
      <c r="B781">
        <v>2812</v>
      </c>
      <c r="C781" t="s">
        <v>2921</v>
      </c>
      <c r="D781" t="s">
        <v>103</v>
      </c>
      <c r="E781" t="s">
        <v>1876</v>
      </c>
      <c r="F781" t="s">
        <v>307</v>
      </c>
      <c r="G781" s="475" t="s">
        <v>1117</v>
      </c>
      <c r="H781" s="475" t="s">
        <v>1634</v>
      </c>
      <c r="I781" t="s">
        <v>836</v>
      </c>
      <c r="J781" t="s">
        <v>2915</v>
      </c>
      <c r="L781">
        <v>961001200006731</v>
      </c>
    </row>
    <row r="782" spans="2:12" ht="12.75">
      <c r="B782">
        <v>2813</v>
      </c>
      <c r="C782" t="s">
        <v>2922</v>
      </c>
      <c r="D782" t="s">
        <v>2923</v>
      </c>
      <c r="E782" t="s">
        <v>1876</v>
      </c>
      <c r="F782" t="s">
        <v>196</v>
      </c>
      <c r="G782" s="475" t="s">
        <v>1117</v>
      </c>
      <c r="H782" s="475" t="s">
        <v>1117</v>
      </c>
      <c r="I782" t="s">
        <v>836</v>
      </c>
      <c r="J782" t="s">
        <v>2924</v>
      </c>
      <c r="L782">
        <v>191100000186571</v>
      </c>
    </row>
    <row r="783" spans="2:12" ht="12.75">
      <c r="B783">
        <v>2814</v>
      </c>
      <c r="C783" t="s">
        <v>2925</v>
      </c>
      <c r="D783" t="s">
        <v>389</v>
      </c>
      <c r="E783" t="s">
        <v>886</v>
      </c>
      <c r="F783" t="s">
        <v>225</v>
      </c>
      <c r="G783" s="475" t="s">
        <v>1117</v>
      </c>
      <c r="H783" s="475" t="s">
        <v>2926</v>
      </c>
      <c r="I783" t="s">
        <v>835</v>
      </c>
      <c r="J783" t="s">
        <v>2924</v>
      </c>
      <c r="L783">
        <v>203108000004923</v>
      </c>
    </row>
    <row r="784" spans="2:12" ht="12.75">
      <c r="B784">
        <v>2815</v>
      </c>
      <c r="C784" t="s">
        <v>2927</v>
      </c>
      <c r="D784" t="s">
        <v>131</v>
      </c>
      <c r="E784" t="s">
        <v>1876</v>
      </c>
      <c r="F784" t="s">
        <v>370</v>
      </c>
      <c r="G784" s="475" t="s">
        <v>1117</v>
      </c>
      <c r="H784" s="475" t="s">
        <v>1117</v>
      </c>
      <c r="I784" t="s">
        <v>836</v>
      </c>
      <c r="J784" t="s">
        <v>2909</v>
      </c>
      <c r="L784">
        <v>203093490000575</v>
      </c>
    </row>
    <row r="785" spans="2:12" ht="12.75">
      <c r="B785">
        <v>2816</v>
      </c>
      <c r="C785" t="s">
        <v>2928</v>
      </c>
      <c r="D785" t="s">
        <v>126</v>
      </c>
      <c r="E785" t="s">
        <v>1876</v>
      </c>
      <c r="F785" t="s">
        <v>225</v>
      </c>
      <c r="G785" s="475" t="s">
        <v>1117</v>
      </c>
      <c r="H785" s="475" t="s">
        <v>1686</v>
      </c>
      <c r="I785" t="s">
        <v>836</v>
      </c>
      <c r="J785" t="s">
        <v>2920</v>
      </c>
      <c r="L785">
        <v>939000001065171</v>
      </c>
    </row>
    <row r="786" spans="2:12" ht="12.75">
      <c r="B786">
        <v>2817</v>
      </c>
      <c r="C786" t="s">
        <v>137</v>
      </c>
      <c r="D786" t="s">
        <v>131</v>
      </c>
      <c r="E786" t="s">
        <v>886</v>
      </c>
      <c r="F786" t="s">
        <v>286</v>
      </c>
      <c r="G786" s="475" t="s">
        <v>2929</v>
      </c>
      <c r="H786" s="475" t="s">
        <v>2930</v>
      </c>
      <c r="I786" t="s">
        <v>835</v>
      </c>
      <c r="J786" t="s">
        <v>2931</v>
      </c>
      <c r="L786">
        <v>380260041432294</v>
      </c>
    </row>
    <row r="787" spans="2:12" ht="12.75">
      <c r="B787">
        <v>2818</v>
      </c>
      <c r="C787" t="s">
        <v>2932</v>
      </c>
      <c r="D787" t="s">
        <v>131</v>
      </c>
      <c r="E787" t="s">
        <v>1876</v>
      </c>
      <c r="F787" t="s">
        <v>2933</v>
      </c>
      <c r="G787" s="475" t="s">
        <v>2809</v>
      </c>
      <c r="H787" s="475" t="s">
        <v>939</v>
      </c>
      <c r="I787" t="s">
        <v>836</v>
      </c>
      <c r="J787" t="s">
        <v>2912</v>
      </c>
      <c r="L787">
        <v>953000010172214</v>
      </c>
    </row>
    <row r="788" spans="2:12" ht="12.75">
      <c r="B788">
        <v>2819</v>
      </c>
      <c r="C788" t="s">
        <v>2934</v>
      </c>
      <c r="D788" t="s">
        <v>224</v>
      </c>
      <c r="E788" t="s">
        <v>1876</v>
      </c>
      <c r="F788" t="s">
        <v>187</v>
      </c>
      <c r="G788" s="475" t="s">
        <v>2809</v>
      </c>
      <c r="H788" s="475" t="s">
        <v>2935</v>
      </c>
      <c r="I788" t="s">
        <v>836</v>
      </c>
      <c r="J788" t="s">
        <v>2936</v>
      </c>
      <c r="L788">
        <v>40097809039196</v>
      </c>
    </row>
    <row r="789" spans="2:12" ht="12.75">
      <c r="B789">
        <v>2820</v>
      </c>
      <c r="C789" t="s">
        <v>105</v>
      </c>
      <c r="D789" t="s">
        <v>185</v>
      </c>
      <c r="E789" t="s">
        <v>1876</v>
      </c>
      <c r="F789" t="s">
        <v>252</v>
      </c>
      <c r="G789" s="475" t="s">
        <v>2937</v>
      </c>
      <c r="H789" s="475" t="s">
        <v>2938</v>
      </c>
      <c r="I789" t="s">
        <v>836</v>
      </c>
      <c r="J789" t="s">
        <v>2166</v>
      </c>
      <c r="L789">
        <v>276098104280330</v>
      </c>
    </row>
    <row r="790" spans="2:12" ht="12.75">
      <c r="B790">
        <v>2821</v>
      </c>
      <c r="C790" t="s">
        <v>2939</v>
      </c>
      <c r="D790" t="s">
        <v>131</v>
      </c>
      <c r="E790" t="s">
        <v>886</v>
      </c>
      <c r="F790" t="s">
        <v>1877</v>
      </c>
      <c r="G790" s="475" t="s">
        <v>2940</v>
      </c>
      <c r="H790" s="475" t="s">
        <v>2091</v>
      </c>
      <c r="I790" t="s">
        <v>835</v>
      </c>
      <c r="J790" t="s">
        <v>1879</v>
      </c>
      <c r="L790">
        <v>900182000920925</v>
      </c>
    </row>
    <row r="791" spans="2:12" ht="12.75">
      <c r="B791">
        <v>2822</v>
      </c>
      <c r="C791" t="s">
        <v>119</v>
      </c>
      <c r="D791" t="s">
        <v>266</v>
      </c>
      <c r="E791" t="s">
        <v>886</v>
      </c>
      <c r="F791" t="s">
        <v>2941</v>
      </c>
      <c r="G791" s="475" t="s">
        <v>2942</v>
      </c>
      <c r="H791" s="475" t="s">
        <v>1117</v>
      </c>
      <c r="I791" t="s">
        <v>835</v>
      </c>
      <c r="J791" t="s">
        <v>2943</v>
      </c>
      <c r="L791">
        <v>276098104475897</v>
      </c>
    </row>
    <row r="792" spans="2:12" ht="12.75">
      <c r="B792">
        <v>2823</v>
      </c>
      <c r="C792" t="s">
        <v>119</v>
      </c>
      <c r="D792" t="s">
        <v>191</v>
      </c>
      <c r="E792" t="s">
        <v>1876</v>
      </c>
      <c r="F792" t="s">
        <v>292</v>
      </c>
      <c r="G792" s="475" t="s">
        <v>2944</v>
      </c>
      <c r="H792" s="475" t="s">
        <v>1517</v>
      </c>
      <c r="I792" t="s">
        <v>836</v>
      </c>
      <c r="J792" t="s">
        <v>2945</v>
      </c>
      <c r="L792">
        <v>945000001148888</v>
      </c>
    </row>
    <row r="793" spans="2:12" ht="12.75">
      <c r="B793">
        <v>2824</v>
      </c>
      <c r="C793" t="s">
        <v>639</v>
      </c>
      <c r="D793" t="s">
        <v>648</v>
      </c>
      <c r="E793" t="s">
        <v>1876</v>
      </c>
      <c r="F793" t="s">
        <v>343</v>
      </c>
      <c r="G793" s="475" t="s">
        <v>2946</v>
      </c>
      <c r="H793" s="475" t="s">
        <v>2947</v>
      </c>
      <c r="I793" t="s">
        <v>836</v>
      </c>
      <c r="J793" t="s">
        <v>2948</v>
      </c>
      <c r="L793">
        <v>276098104936988</v>
      </c>
    </row>
    <row r="794" spans="2:12" ht="12.75">
      <c r="B794">
        <v>2825</v>
      </c>
      <c r="C794" t="s">
        <v>2949</v>
      </c>
      <c r="D794" t="s">
        <v>123</v>
      </c>
      <c r="E794" t="s">
        <v>886</v>
      </c>
      <c r="F794" t="s">
        <v>184</v>
      </c>
      <c r="G794" s="475" t="s">
        <v>1978</v>
      </c>
      <c r="H794" s="475" t="s">
        <v>2950</v>
      </c>
      <c r="I794" t="s">
        <v>835</v>
      </c>
      <c r="J794" t="s">
        <v>2951</v>
      </c>
      <c r="L794">
        <v>900118000087420</v>
      </c>
    </row>
    <row r="795" spans="2:12" ht="12.75">
      <c r="B795">
        <v>2826</v>
      </c>
      <c r="C795" t="s">
        <v>2756</v>
      </c>
      <c r="D795" t="s">
        <v>266</v>
      </c>
      <c r="E795" t="s">
        <v>886</v>
      </c>
      <c r="F795" t="s">
        <v>2952</v>
      </c>
      <c r="G795" s="475" t="s">
        <v>2953</v>
      </c>
      <c r="H795" s="475" t="s">
        <v>2954</v>
      </c>
      <c r="I795" t="s">
        <v>835</v>
      </c>
      <c r="J795" t="s">
        <v>208</v>
      </c>
      <c r="L795">
        <v>276098104432325</v>
      </c>
    </row>
    <row r="796" spans="2:12" ht="12.75">
      <c r="B796">
        <v>2827</v>
      </c>
      <c r="C796" t="s">
        <v>2955</v>
      </c>
      <c r="D796" t="s">
        <v>207</v>
      </c>
      <c r="E796" t="s">
        <v>1876</v>
      </c>
      <c r="F796" t="s">
        <v>2952</v>
      </c>
      <c r="G796" s="475" t="s">
        <v>2956</v>
      </c>
      <c r="H796" s="475" t="s">
        <v>2957</v>
      </c>
      <c r="I796" t="s">
        <v>836</v>
      </c>
      <c r="J796" t="s">
        <v>950</v>
      </c>
      <c r="L796">
        <v>276097202087093</v>
      </c>
    </row>
    <row r="797" spans="2:12" ht="12.75">
      <c r="B797">
        <v>2828</v>
      </c>
      <c r="C797" t="s">
        <v>271</v>
      </c>
      <c r="D797" t="s">
        <v>1343</v>
      </c>
      <c r="E797" t="s">
        <v>886</v>
      </c>
      <c r="F797" t="s">
        <v>343</v>
      </c>
      <c r="G797" s="475" t="s">
        <v>1748</v>
      </c>
      <c r="H797" s="475" t="s">
        <v>2958</v>
      </c>
      <c r="I797" t="s">
        <v>835</v>
      </c>
      <c r="J797" t="s">
        <v>2959</v>
      </c>
      <c r="L797">
        <v>276096909241420</v>
      </c>
    </row>
    <row r="798" spans="2:12" ht="12.75">
      <c r="B798">
        <v>2829</v>
      </c>
      <c r="C798" t="s">
        <v>169</v>
      </c>
      <c r="D798" t="s">
        <v>103</v>
      </c>
      <c r="E798" t="s">
        <v>1876</v>
      </c>
      <c r="F798" t="s">
        <v>2960</v>
      </c>
      <c r="G798" s="475" t="s">
        <v>2456</v>
      </c>
      <c r="H798" s="475" t="s">
        <v>2961</v>
      </c>
      <c r="I798" t="s">
        <v>836</v>
      </c>
      <c r="J798" t="s">
        <v>2962</v>
      </c>
      <c r="L798">
        <v>276096907055019</v>
      </c>
    </row>
    <row r="799" spans="2:12" ht="12.75">
      <c r="B799">
        <v>2830</v>
      </c>
      <c r="C799" t="s">
        <v>633</v>
      </c>
      <c r="D799" t="s">
        <v>1343</v>
      </c>
      <c r="E799" t="s">
        <v>1876</v>
      </c>
      <c r="F799" t="s">
        <v>392</v>
      </c>
      <c r="G799" s="475" t="s">
        <v>2963</v>
      </c>
      <c r="H799" s="475" t="s">
        <v>2964</v>
      </c>
      <c r="I799" t="s">
        <v>836</v>
      </c>
      <c r="J799" t="s">
        <v>634</v>
      </c>
      <c r="L799">
        <v>276097202547786</v>
      </c>
    </row>
    <row r="800" spans="2:12" ht="12.75">
      <c r="B800">
        <v>2831</v>
      </c>
      <c r="C800" t="s">
        <v>2965</v>
      </c>
      <c r="D800" t="s">
        <v>224</v>
      </c>
      <c r="E800" t="s">
        <v>886</v>
      </c>
      <c r="F800" t="s">
        <v>1796</v>
      </c>
      <c r="G800" s="475" t="s">
        <v>2966</v>
      </c>
      <c r="H800" s="475" t="s">
        <v>2967</v>
      </c>
      <c r="I800" t="s">
        <v>835</v>
      </c>
      <c r="J800" t="s">
        <v>2968</v>
      </c>
      <c r="L800">
        <v>276098104817263</v>
      </c>
    </row>
    <row r="801" spans="2:12" ht="12.75">
      <c r="B801">
        <v>2832</v>
      </c>
      <c r="C801" t="s">
        <v>226</v>
      </c>
      <c r="D801" t="s">
        <v>131</v>
      </c>
      <c r="E801" t="s">
        <v>886</v>
      </c>
      <c r="F801" t="s">
        <v>614</v>
      </c>
      <c r="G801" s="475" t="s">
        <v>2969</v>
      </c>
      <c r="H801" s="475" t="s">
        <v>2970</v>
      </c>
      <c r="I801" t="s">
        <v>835</v>
      </c>
      <c r="L801">
        <v>941000017818407</v>
      </c>
    </row>
    <row r="802" spans="2:12" ht="12.75">
      <c r="B802">
        <v>2833</v>
      </c>
      <c r="C802" t="s">
        <v>1853</v>
      </c>
      <c r="D802" t="s">
        <v>224</v>
      </c>
      <c r="E802" t="s">
        <v>886</v>
      </c>
      <c r="F802" t="s">
        <v>309</v>
      </c>
      <c r="G802" s="475" t="s">
        <v>2971</v>
      </c>
      <c r="H802" s="475" t="s">
        <v>1438</v>
      </c>
      <c r="I802" t="s">
        <v>835</v>
      </c>
      <c r="J802" t="s">
        <v>2972</v>
      </c>
      <c r="L802">
        <v>276098104000879</v>
      </c>
    </row>
    <row r="803" spans="2:12" ht="12.75">
      <c r="B803">
        <v>2834</v>
      </c>
      <c r="C803" t="s">
        <v>2973</v>
      </c>
      <c r="D803" t="s">
        <v>1015</v>
      </c>
      <c r="E803" t="s">
        <v>886</v>
      </c>
      <c r="F803" t="s">
        <v>2974</v>
      </c>
      <c r="G803" s="475" t="s">
        <v>2975</v>
      </c>
      <c r="H803" s="475" t="s">
        <v>1531</v>
      </c>
      <c r="I803" t="s">
        <v>835</v>
      </c>
      <c r="J803" t="s">
        <v>2976</v>
      </c>
      <c r="L803">
        <v>900096000125058</v>
      </c>
    </row>
    <row r="804" spans="2:12" ht="12.75">
      <c r="B804">
        <v>2835</v>
      </c>
      <c r="C804" t="s">
        <v>466</v>
      </c>
      <c r="D804" t="s">
        <v>126</v>
      </c>
      <c r="E804" t="s">
        <v>886</v>
      </c>
      <c r="F804" t="s">
        <v>277</v>
      </c>
      <c r="G804" s="475" t="s">
        <v>2009</v>
      </c>
      <c r="H804" s="475" t="s">
        <v>2408</v>
      </c>
      <c r="I804" t="s">
        <v>835</v>
      </c>
      <c r="J804" t="s">
        <v>2977</v>
      </c>
      <c r="L804">
        <v>985170002481097</v>
      </c>
    </row>
    <row r="805" spans="2:12" ht="12.75">
      <c r="B805">
        <v>2836</v>
      </c>
      <c r="C805" t="s">
        <v>2700</v>
      </c>
      <c r="D805" t="s">
        <v>122</v>
      </c>
      <c r="E805" t="s">
        <v>1876</v>
      </c>
      <c r="F805" t="s">
        <v>414</v>
      </c>
      <c r="G805" s="475" t="s">
        <v>2978</v>
      </c>
      <c r="H805" s="475" t="s">
        <v>2979</v>
      </c>
      <c r="I805" t="s">
        <v>836</v>
      </c>
      <c r="J805" t="s">
        <v>1012</v>
      </c>
      <c r="L805">
        <v>276098009115232</v>
      </c>
    </row>
    <row r="806" spans="2:12" ht="12.75">
      <c r="B806">
        <v>2837</v>
      </c>
      <c r="C806" t="s">
        <v>119</v>
      </c>
      <c r="D806" t="s">
        <v>131</v>
      </c>
      <c r="E806" t="s">
        <v>886</v>
      </c>
      <c r="F806" t="s">
        <v>822</v>
      </c>
      <c r="G806" s="475" t="s">
        <v>2980</v>
      </c>
      <c r="H806" s="475" t="s">
        <v>2191</v>
      </c>
      <c r="I806" t="s">
        <v>835</v>
      </c>
      <c r="J806" t="s">
        <v>695</v>
      </c>
      <c r="L806">
        <v>985170002438315</v>
      </c>
    </row>
    <row r="807" spans="2:12" ht="12.75">
      <c r="B807">
        <v>2838</v>
      </c>
      <c r="C807" t="s">
        <v>639</v>
      </c>
      <c r="D807" t="s">
        <v>131</v>
      </c>
      <c r="E807" t="s">
        <v>1876</v>
      </c>
      <c r="F807" t="s">
        <v>1770</v>
      </c>
      <c r="G807" s="475" t="s">
        <v>2297</v>
      </c>
      <c r="H807" s="475" t="s">
        <v>2981</v>
      </c>
      <c r="I807" t="s">
        <v>836</v>
      </c>
      <c r="J807" t="s">
        <v>1467</v>
      </c>
      <c r="L807">
        <v>40100000034277</v>
      </c>
    </row>
    <row r="808" spans="2:12" ht="12.75">
      <c r="B808">
        <v>2839</v>
      </c>
      <c r="C808" t="s">
        <v>404</v>
      </c>
      <c r="D808" t="s">
        <v>429</v>
      </c>
      <c r="E808" t="s">
        <v>886</v>
      </c>
      <c r="F808" t="s">
        <v>795</v>
      </c>
      <c r="G808" s="475" t="s">
        <v>2982</v>
      </c>
      <c r="H808" s="475" t="s">
        <v>2983</v>
      </c>
      <c r="I808" t="s">
        <v>835</v>
      </c>
      <c r="J808" t="s">
        <v>2984</v>
      </c>
      <c r="L808">
        <v>900176000147277</v>
      </c>
    </row>
    <row r="809" spans="2:12" ht="12.75">
      <c r="B809">
        <v>2840</v>
      </c>
      <c r="C809" t="s">
        <v>2985</v>
      </c>
      <c r="D809" t="s">
        <v>123</v>
      </c>
      <c r="E809" t="s">
        <v>1876</v>
      </c>
      <c r="F809" t="s">
        <v>186</v>
      </c>
      <c r="G809" s="475" t="s">
        <v>2986</v>
      </c>
      <c r="H809" s="475" t="s">
        <v>2987</v>
      </c>
      <c r="I809" t="s">
        <v>836</v>
      </c>
      <c r="J809" t="s">
        <v>2988</v>
      </c>
      <c r="L809">
        <v>642098100141047</v>
      </c>
    </row>
    <row r="810" spans="1:12" ht="12.75">
      <c r="A810" s="470"/>
      <c r="B810" s="470"/>
      <c r="C810" s="470"/>
      <c r="D810" s="470"/>
      <c r="E810" s="470"/>
      <c r="F810" s="470"/>
      <c r="G810" s="471"/>
      <c r="H810" s="471"/>
      <c r="I810" s="472"/>
      <c r="J810" s="470"/>
      <c r="K810" s="470"/>
      <c r="L810" s="470"/>
    </row>
    <row r="811" spans="1:12" ht="12.75">
      <c r="A811" s="470"/>
      <c r="B811" s="470"/>
      <c r="C811" s="470"/>
      <c r="D811" s="470"/>
      <c r="E811" s="470"/>
      <c r="F811" s="470"/>
      <c r="G811" s="471"/>
      <c r="H811" s="470"/>
      <c r="I811" s="472"/>
      <c r="J811" s="470"/>
      <c r="K811" s="470"/>
      <c r="L811" s="470"/>
    </row>
    <row r="812" spans="1:12" ht="12.75">
      <c r="A812" s="470"/>
      <c r="B812" s="470"/>
      <c r="C812" s="470"/>
      <c r="D812" s="470"/>
      <c r="E812" s="470"/>
      <c r="F812" s="470"/>
      <c r="G812" s="471"/>
      <c r="H812" s="471"/>
      <c r="I812" s="472"/>
      <c r="J812" s="470"/>
      <c r="K812" s="470"/>
      <c r="L812" s="470"/>
    </row>
    <row r="813" spans="1:12" ht="12.75">
      <c r="A813" s="470"/>
      <c r="B813" s="470"/>
      <c r="C813" s="470"/>
      <c r="D813" s="470"/>
      <c r="E813" s="470"/>
      <c r="F813" s="470"/>
      <c r="G813" s="471"/>
      <c r="H813" s="471"/>
      <c r="I813" s="472"/>
      <c r="J813" s="470"/>
      <c r="K813" s="470"/>
      <c r="L813" s="470"/>
    </row>
    <row r="814" spans="1:12" ht="12.75">
      <c r="A814" s="470"/>
      <c r="B814" s="470"/>
      <c r="C814" s="470"/>
      <c r="D814" s="470"/>
      <c r="E814" s="470"/>
      <c r="F814" s="470"/>
      <c r="G814" s="471"/>
      <c r="H814" s="471"/>
      <c r="I814" s="472"/>
      <c r="J814" s="470"/>
      <c r="K814" s="470"/>
      <c r="L814" s="470"/>
    </row>
    <row r="815" spans="1:12" ht="12.75">
      <c r="A815" s="470"/>
      <c r="B815" s="470"/>
      <c r="C815" s="470"/>
      <c r="D815" s="470"/>
      <c r="E815" s="470"/>
      <c r="F815" s="470"/>
      <c r="G815" s="471"/>
      <c r="H815" s="471"/>
      <c r="I815" s="472"/>
      <c r="J815" s="470"/>
      <c r="K815" s="470"/>
      <c r="L815" s="470"/>
    </row>
    <row r="816" spans="1:12" ht="12.75">
      <c r="A816" s="470"/>
      <c r="B816" s="470"/>
      <c r="C816" s="470"/>
      <c r="D816" s="470"/>
      <c r="E816" s="470"/>
      <c r="F816" s="470"/>
      <c r="G816" s="471"/>
      <c r="H816" s="471"/>
      <c r="I816" s="472"/>
      <c r="J816" s="470"/>
      <c r="K816" s="470"/>
      <c r="L816" s="470"/>
    </row>
    <row r="817" spans="1:12" ht="12.75">
      <c r="A817" s="470"/>
      <c r="B817" s="470"/>
      <c r="C817" s="470"/>
      <c r="D817" s="470"/>
      <c r="E817" s="470"/>
      <c r="F817" s="470"/>
      <c r="G817" s="471"/>
      <c r="H817" s="471"/>
      <c r="I817" s="472"/>
      <c r="J817" s="470"/>
      <c r="K817" s="470"/>
      <c r="L817" s="470"/>
    </row>
    <row r="818" spans="1:12" ht="12.75">
      <c r="A818" s="470"/>
      <c r="B818" s="470"/>
      <c r="C818" s="470"/>
      <c r="D818" s="470"/>
      <c r="E818" s="470"/>
      <c r="F818" s="470"/>
      <c r="G818" s="471"/>
      <c r="H818" s="471"/>
      <c r="I818" s="472"/>
      <c r="J818" s="470"/>
      <c r="K818" s="470"/>
      <c r="L818" s="470"/>
    </row>
    <row r="819" spans="1:12" ht="12.75">
      <c r="A819" s="470"/>
      <c r="B819" s="470"/>
      <c r="C819" s="470"/>
      <c r="D819" s="470"/>
      <c r="E819" s="470"/>
      <c r="F819" s="470"/>
      <c r="G819" s="471"/>
      <c r="H819" s="471"/>
      <c r="I819" s="472"/>
      <c r="J819" s="470"/>
      <c r="K819" s="470"/>
      <c r="L819" s="470"/>
    </row>
    <row r="820" spans="1:12" ht="12.75">
      <c r="A820" s="470"/>
      <c r="B820" s="470"/>
      <c r="C820" s="470"/>
      <c r="D820" s="470"/>
      <c r="E820" s="470"/>
      <c r="F820" s="470"/>
      <c r="G820" s="471"/>
      <c r="H820" s="471"/>
      <c r="I820" s="472"/>
      <c r="J820" s="470"/>
      <c r="K820" s="470"/>
      <c r="L820" s="470"/>
    </row>
    <row r="821" spans="1:12" ht="12.75">
      <c r="A821" s="470"/>
      <c r="B821" s="470"/>
      <c r="C821" s="470"/>
      <c r="D821" s="470"/>
      <c r="E821" s="470"/>
      <c r="F821" s="470"/>
      <c r="G821" s="471"/>
      <c r="H821" s="471"/>
      <c r="I821" s="472"/>
      <c r="J821" s="470"/>
      <c r="K821" s="470"/>
      <c r="L821" s="470"/>
    </row>
    <row r="822" spans="1:12" ht="12.75">
      <c r="A822" s="470"/>
      <c r="B822" s="470"/>
      <c r="C822" s="470"/>
      <c r="D822" s="470"/>
      <c r="E822" s="470"/>
      <c r="F822" s="470"/>
      <c r="G822" s="471"/>
      <c r="H822" s="471"/>
      <c r="I822" s="472"/>
      <c r="J822" s="470"/>
      <c r="K822" s="470"/>
      <c r="L822" s="470"/>
    </row>
    <row r="823" spans="1:12" ht="12.75">
      <c r="A823" s="470"/>
      <c r="B823" s="470"/>
      <c r="C823" s="470"/>
      <c r="D823" s="470"/>
      <c r="E823" s="470"/>
      <c r="F823" s="470"/>
      <c r="G823" s="471"/>
      <c r="H823" s="471"/>
      <c r="I823" s="472"/>
      <c r="J823" s="470"/>
      <c r="K823" s="470"/>
      <c r="L823" s="470"/>
    </row>
    <row r="824" spans="1:12" ht="12.75">
      <c r="A824" s="470"/>
      <c r="B824" s="470"/>
      <c r="C824" s="470"/>
      <c r="D824" s="470"/>
      <c r="E824" s="470"/>
      <c r="F824" s="470"/>
      <c r="G824" s="471"/>
      <c r="H824" s="471"/>
      <c r="I824" s="472"/>
      <c r="J824" s="470"/>
      <c r="K824" s="470"/>
      <c r="L824" s="470"/>
    </row>
    <row r="825" spans="1:12" ht="12.75">
      <c r="A825" s="470"/>
      <c r="B825" s="470"/>
      <c r="C825" s="470"/>
      <c r="D825" s="470"/>
      <c r="E825" s="470"/>
      <c r="F825" s="470"/>
      <c r="G825" s="471"/>
      <c r="H825" s="471"/>
      <c r="I825" s="472"/>
      <c r="J825" s="470"/>
      <c r="K825" s="470"/>
      <c r="L825" s="470"/>
    </row>
    <row r="826" spans="1:12" ht="12.75">
      <c r="A826" s="470"/>
      <c r="B826" s="470"/>
      <c r="C826" s="470"/>
      <c r="D826" s="470"/>
      <c r="E826" s="470"/>
      <c r="F826" s="470"/>
      <c r="G826" s="471"/>
      <c r="H826" s="471"/>
      <c r="I826" s="472"/>
      <c r="J826" s="470"/>
      <c r="K826" s="470"/>
      <c r="L826" s="470"/>
    </row>
    <row r="827" spans="1:12" ht="12.75">
      <c r="A827" s="470"/>
      <c r="B827" s="470"/>
      <c r="C827" s="470"/>
      <c r="D827" s="470"/>
      <c r="E827" s="470"/>
      <c r="F827" s="470"/>
      <c r="G827" s="471"/>
      <c r="H827" s="471"/>
      <c r="I827" s="472"/>
      <c r="J827" s="470"/>
      <c r="K827" s="470"/>
      <c r="L827" s="470"/>
    </row>
    <row r="828" spans="1:12" ht="12.75">
      <c r="A828" s="470"/>
      <c r="B828" s="470"/>
      <c r="C828" s="470"/>
      <c r="D828" s="470"/>
      <c r="E828" s="470"/>
      <c r="F828" s="470"/>
      <c r="G828" s="471"/>
      <c r="H828" s="471"/>
      <c r="I828" s="472"/>
      <c r="J828" s="470"/>
      <c r="K828" s="470"/>
      <c r="L828" s="470"/>
    </row>
    <row r="829" spans="1:12" ht="12.75">
      <c r="A829" s="470"/>
      <c r="B829" s="470"/>
      <c r="C829" s="470"/>
      <c r="D829" s="470"/>
      <c r="E829" s="470"/>
      <c r="F829" s="470"/>
      <c r="G829" s="471"/>
      <c r="H829" s="471"/>
      <c r="I829" s="472"/>
      <c r="J829" s="470"/>
      <c r="K829" s="470"/>
      <c r="L829" s="470"/>
    </row>
    <row r="830" spans="1:12" ht="12.75">
      <c r="A830" s="470"/>
      <c r="B830" s="470"/>
      <c r="C830" s="470"/>
      <c r="D830" s="470"/>
      <c r="E830" s="470"/>
      <c r="F830" s="470"/>
      <c r="G830" s="471"/>
      <c r="H830" s="470"/>
      <c r="I830" s="472"/>
      <c r="J830" s="470"/>
      <c r="K830" s="470"/>
      <c r="L830" s="470"/>
    </row>
    <row r="831" spans="1:12" ht="12.75">
      <c r="A831" s="470"/>
      <c r="B831" s="470"/>
      <c r="C831" s="470"/>
      <c r="D831" s="470"/>
      <c r="E831" s="470"/>
      <c r="F831" s="470"/>
      <c r="G831" s="471"/>
      <c r="H831" s="471"/>
      <c r="I831" s="472"/>
      <c r="J831" s="470"/>
      <c r="K831" s="470"/>
      <c r="L831" s="470"/>
    </row>
    <row r="832" spans="1:12" ht="12.75">
      <c r="A832" s="470"/>
      <c r="B832" s="470"/>
      <c r="C832" s="470"/>
      <c r="D832" s="470"/>
      <c r="E832" s="470"/>
      <c r="F832" s="470"/>
      <c r="G832" s="471"/>
      <c r="H832" s="471"/>
      <c r="I832" s="472"/>
      <c r="J832" s="470"/>
      <c r="K832" s="470"/>
      <c r="L832" s="470"/>
    </row>
    <row r="833" spans="1:12" ht="12.75">
      <c r="A833" s="470"/>
      <c r="B833" s="470"/>
      <c r="C833" s="470"/>
      <c r="D833" s="470"/>
      <c r="E833" s="470"/>
      <c r="F833" s="470"/>
      <c r="G833" s="471"/>
      <c r="H833" s="471"/>
      <c r="I833" s="472"/>
      <c r="J833" s="470"/>
      <c r="K833" s="470"/>
      <c r="L833" s="470"/>
    </row>
    <row r="834" spans="1:12" ht="12.75">
      <c r="A834" s="470"/>
      <c r="B834" s="470"/>
      <c r="C834" s="470"/>
      <c r="D834" s="470"/>
      <c r="E834" s="470"/>
      <c r="F834" s="470"/>
      <c r="G834" s="471"/>
      <c r="H834" s="471"/>
      <c r="I834" s="472"/>
      <c r="J834" s="470"/>
      <c r="K834" s="470"/>
      <c r="L834" s="470"/>
    </row>
    <row r="835" spans="1:12" ht="12.75">
      <c r="A835" s="470"/>
      <c r="B835" s="470"/>
      <c r="C835" s="470"/>
      <c r="D835" s="470"/>
      <c r="E835" s="470"/>
      <c r="F835" s="470"/>
      <c r="G835" s="471"/>
      <c r="H835" s="470"/>
      <c r="I835" s="472"/>
      <c r="J835" s="470"/>
      <c r="K835" s="470"/>
      <c r="L835" s="470"/>
    </row>
    <row r="836" spans="1:12" ht="12.75">
      <c r="A836" s="470"/>
      <c r="B836" s="470"/>
      <c r="C836" s="470"/>
      <c r="D836" s="470"/>
      <c r="E836" s="470"/>
      <c r="F836" s="470"/>
      <c r="G836" s="471"/>
      <c r="H836" s="471"/>
      <c r="I836" s="472"/>
      <c r="J836" s="470"/>
      <c r="K836" s="470"/>
      <c r="L836" s="470"/>
    </row>
    <row r="837" spans="1:12" ht="12.75">
      <c r="A837" s="470"/>
      <c r="B837" s="470"/>
      <c r="C837" s="470"/>
      <c r="D837" s="470"/>
      <c r="E837" s="470"/>
      <c r="F837" s="470"/>
      <c r="G837" s="471"/>
      <c r="H837" s="471"/>
      <c r="I837" s="472"/>
      <c r="J837" s="470"/>
      <c r="K837" s="470"/>
      <c r="L837" s="470"/>
    </row>
    <row r="838" spans="1:12" ht="12.75">
      <c r="A838" s="470"/>
      <c r="B838" s="470"/>
      <c r="C838" s="470"/>
      <c r="D838" s="470"/>
      <c r="E838" s="470"/>
      <c r="F838" s="470"/>
      <c r="G838" s="470"/>
      <c r="H838" s="470"/>
      <c r="I838" s="472"/>
      <c r="J838" s="470"/>
      <c r="K838" s="470"/>
      <c r="L838" s="470"/>
    </row>
    <row r="839" spans="1:12" ht="12.75">
      <c r="A839" s="470"/>
      <c r="B839" s="470"/>
      <c r="C839" s="470"/>
      <c r="D839" s="470"/>
      <c r="E839" s="470"/>
      <c r="F839" s="470"/>
      <c r="G839" s="471"/>
      <c r="H839" s="471"/>
      <c r="I839" s="472"/>
      <c r="J839" s="470"/>
      <c r="K839" s="470"/>
      <c r="L839" s="470"/>
    </row>
    <row r="840" spans="1:12" ht="12.75">
      <c r="A840" s="470"/>
      <c r="B840" s="470"/>
      <c r="C840" s="470"/>
      <c r="D840" s="470"/>
      <c r="E840" s="470"/>
      <c r="F840" s="470"/>
      <c r="G840" s="471"/>
      <c r="H840" s="471"/>
      <c r="I840" s="472"/>
      <c r="J840" s="470"/>
      <c r="K840" s="470"/>
      <c r="L840" s="470"/>
    </row>
    <row r="841" spans="1:12" ht="12.75">
      <c r="A841" s="470"/>
      <c r="B841" s="470"/>
      <c r="C841" s="470"/>
      <c r="D841" s="470"/>
      <c r="E841" s="470"/>
      <c r="F841" s="470"/>
      <c r="G841" s="471"/>
      <c r="H841" s="471"/>
      <c r="I841" s="472"/>
      <c r="J841" s="470"/>
      <c r="K841" s="470"/>
      <c r="L841" s="470"/>
    </row>
    <row r="842" spans="1:12" ht="12.75">
      <c r="A842" s="470"/>
      <c r="B842" s="470"/>
      <c r="C842" s="470"/>
      <c r="D842" s="470"/>
      <c r="E842" s="470"/>
      <c r="F842" s="470"/>
      <c r="G842" s="471"/>
      <c r="H842" s="471"/>
      <c r="I842" s="472"/>
      <c r="J842" s="470"/>
      <c r="K842" s="470"/>
      <c r="L842" s="470"/>
    </row>
    <row r="843" spans="1:12" ht="12.75">
      <c r="A843" s="470"/>
      <c r="B843" s="470"/>
      <c r="C843" s="470"/>
      <c r="D843" s="470"/>
      <c r="E843" s="470"/>
      <c r="F843" s="470"/>
      <c r="G843" s="471"/>
      <c r="H843" s="471"/>
      <c r="I843" s="472"/>
      <c r="J843" s="470"/>
      <c r="K843" s="470"/>
      <c r="L843" s="470"/>
    </row>
    <row r="844" spans="1:12" ht="12.75">
      <c r="A844" s="470"/>
      <c r="B844" s="470"/>
      <c r="C844" s="470"/>
      <c r="D844" s="470"/>
      <c r="E844" s="470"/>
      <c r="F844" s="470"/>
      <c r="G844" s="471"/>
      <c r="H844" s="471"/>
      <c r="I844" s="472"/>
      <c r="J844" s="470"/>
      <c r="K844" s="470"/>
      <c r="L844" s="470"/>
    </row>
    <row r="845" spans="1:12" ht="12.75">
      <c r="A845" s="470"/>
      <c r="B845" s="470"/>
      <c r="C845" s="470"/>
      <c r="D845" s="470"/>
      <c r="E845" s="470"/>
      <c r="F845" s="470"/>
      <c r="G845" s="471"/>
      <c r="H845" s="471"/>
      <c r="I845" s="472"/>
      <c r="J845" s="470"/>
      <c r="K845" s="470"/>
      <c r="L845" s="470"/>
    </row>
    <row r="846" spans="1:12" ht="12.75">
      <c r="A846" s="470"/>
      <c r="B846" s="470"/>
      <c r="C846" s="470"/>
      <c r="D846" s="470"/>
      <c r="E846" s="470"/>
      <c r="F846" s="470"/>
      <c r="G846" s="471"/>
      <c r="H846" s="471"/>
      <c r="I846" s="472"/>
      <c r="J846" s="470"/>
      <c r="K846" s="470"/>
      <c r="L846" s="470"/>
    </row>
    <row r="847" spans="1:12" ht="12.75">
      <c r="A847" s="470"/>
      <c r="B847" s="470"/>
      <c r="C847" s="470"/>
      <c r="D847" s="470"/>
      <c r="E847" s="470"/>
      <c r="F847" s="470"/>
      <c r="G847" s="471"/>
      <c r="H847" s="471"/>
      <c r="I847" s="472"/>
      <c r="J847" s="470"/>
      <c r="K847" s="470"/>
      <c r="L847" s="470"/>
    </row>
    <row r="848" spans="1:12" ht="12.75">
      <c r="A848" s="470"/>
      <c r="B848" s="470"/>
      <c r="C848" s="470"/>
      <c r="D848" s="470"/>
      <c r="E848" s="470"/>
      <c r="F848" s="470"/>
      <c r="G848" s="471"/>
      <c r="H848" s="470"/>
      <c r="I848" s="472"/>
      <c r="J848" s="470"/>
      <c r="K848" s="470"/>
      <c r="L848" s="470"/>
    </row>
    <row r="849" spans="1:12" ht="12.75">
      <c r="A849" s="470"/>
      <c r="B849" s="470"/>
      <c r="C849" s="470"/>
      <c r="D849" s="470"/>
      <c r="E849" s="470"/>
      <c r="F849" s="470"/>
      <c r="G849" s="471"/>
      <c r="H849" s="471"/>
      <c r="I849" s="472"/>
      <c r="J849" s="470"/>
      <c r="K849" s="470"/>
      <c r="L849" s="470"/>
    </row>
    <row r="850" spans="1:12" ht="12.75">
      <c r="A850" s="470"/>
      <c r="B850" s="470"/>
      <c r="C850" s="470"/>
      <c r="D850" s="470"/>
      <c r="E850" s="470"/>
      <c r="F850" s="470"/>
      <c r="G850" s="471"/>
      <c r="H850" s="470"/>
      <c r="I850" s="472"/>
      <c r="J850" s="470"/>
      <c r="K850" s="470"/>
      <c r="L850" s="470"/>
    </row>
    <row r="851" spans="1:12" ht="12.75">
      <c r="A851" s="470"/>
      <c r="B851" s="470"/>
      <c r="C851" s="470"/>
      <c r="D851" s="470"/>
      <c r="E851" s="470"/>
      <c r="F851" s="470"/>
      <c r="G851" s="471"/>
      <c r="H851" s="470"/>
      <c r="I851" s="472"/>
      <c r="J851" s="470"/>
      <c r="K851" s="470"/>
      <c r="L851" s="470"/>
    </row>
    <row r="852" spans="1:12" ht="12.75">
      <c r="A852" s="470"/>
      <c r="B852" s="470"/>
      <c r="C852" s="470"/>
      <c r="D852" s="470"/>
      <c r="E852" s="470"/>
      <c r="F852" s="470"/>
      <c r="G852" s="471"/>
      <c r="H852" s="470"/>
      <c r="I852" s="472"/>
      <c r="J852" s="470"/>
      <c r="K852" s="470"/>
      <c r="L852" s="470"/>
    </row>
    <row r="853" spans="1:12" ht="12.75">
      <c r="A853" s="470"/>
      <c r="B853" s="470"/>
      <c r="C853" s="470"/>
      <c r="D853" s="470"/>
      <c r="E853" s="470"/>
      <c r="F853" s="470"/>
      <c r="G853" s="471"/>
      <c r="H853" s="470"/>
      <c r="I853" s="472"/>
      <c r="J853" s="470"/>
      <c r="K853" s="470"/>
      <c r="L853" s="470"/>
    </row>
    <row r="854" spans="1:12" ht="12.75">
      <c r="A854" s="470"/>
      <c r="B854" s="470"/>
      <c r="C854" s="470"/>
      <c r="D854" s="470"/>
      <c r="E854" s="470"/>
      <c r="F854" s="470"/>
      <c r="G854" s="471"/>
      <c r="H854" s="471"/>
      <c r="I854" s="472"/>
      <c r="J854" s="470"/>
      <c r="K854" s="470"/>
      <c r="L854" s="470"/>
    </row>
    <row r="855" spans="1:12" ht="12.75">
      <c r="A855" s="470"/>
      <c r="B855" s="470"/>
      <c r="C855" s="470"/>
      <c r="D855" s="470"/>
      <c r="E855" s="470"/>
      <c r="F855" s="470"/>
      <c r="G855" s="471"/>
      <c r="H855" s="471"/>
      <c r="I855" s="472"/>
      <c r="J855" s="470"/>
      <c r="K855" s="470"/>
      <c r="L855" s="470"/>
    </row>
    <row r="856" spans="1:12" ht="12.75">
      <c r="A856" s="470"/>
      <c r="B856" s="470"/>
      <c r="C856" s="470"/>
      <c r="D856" s="470"/>
      <c r="E856" s="470"/>
      <c r="F856" s="470"/>
      <c r="G856" s="471"/>
      <c r="H856" s="471"/>
      <c r="I856" s="472"/>
      <c r="J856" s="470"/>
      <c r="K856" s="470"/>
      <c r="L856" s="470"/>
    </row>
    <row r="857" spans="1:12" ht="12.75">
      <c r="A857" s="470"/>
      <c r="B857" s="470"/>
      <c r="C857" s="470"/>
      <c r="D857" s="470"/>
      <c r="E857" s="470"/>
      <c r="F857" s="470"/>
      <c r="G857" s="471"/>
      <c r="H857" s="471"/>
      <c r="I857" s="472"/>
      <c r="J857" s="470"/>
      <c r="K857" s="470"/>
      <c r="L857" s="470"/>
    </row>
    <row r="858" spans="1:12" ht="12.75">
      <c r="A858" s="470"/>
      <c r="B858" s="470"/>
      <c r="C858" s="470"/>
      <c r="D858" s="470"/>
      <c r="E858" s="470"/>
      <c r="F858" s="470"/>
      <c r="G858" s="471"/>
      <c r="H858" s="471"/>
      <c r="I858" s="472"/>
      <c r="J858" s="470"/>
      <c r="K858" s="470"/>
      <c r="L858" s="470"/>
    </row>
    <row r="859" spans="1:12" ht="12.75">
      <c r="A859" s="470"/>
      <c r="B859" s="470"/>
      <c r="C859" s="470"/>
      <c r="D859" s="470"/>
      <c r="E859" s="470"/>
      <c r="F859" s="470"/>
      <c r="G859" s="471"/>
      <c r="H859" s="471"/>
      <c r="I859" s="472"/>
      <c r="J859" s="470"/>
      <c r="K859" s="470"/>
      <c r="L859" s="470"/>
    </row>
    <row r="860" spans="1:12" ht="12.75">
      <c r="A860" s="470"/>
      <c r="B860" s="470"/>
      <c r="C860" s="470"/>
      <c r="D860" s="470"/>
      <c r="E860" s="470"/>
      <c r="F860" s="470"/>
      <c r="G860" s="471"/>
      <c r="H860" s="471"/>
      <c r="I860" s="472"/>
      <c r="J860" s="470"/>
      <c r="K860" s="470"/>
      <c r="L860" s="470"/>
    </row>
    <row r="861" spans="1:12" ht="12.75">
      <c r="A861" s="470"/>
      <c r="B861" s="470"/>
      <c r="C861" s="470"/>
      <c r="D861" s="470"/>
      <c r="E861" s="470"/>
      <c r="F861" s="470"/>
      <c r="G861" s="471"/>
      <c r="H861" s="471"/>
      <c r="I861" s="472"/>
      <c r="J861" s="470"/>
      <c r="K861" s="470"/>
      <c r="L861" s="470"/>
    </row>
    <row r="862" spans="1:12" ht="12.75">
      <c r="A862" s="470"/>
      <c r="B862" s="470"/>
      <c r="C862" s="470"/>
      <c r="D862" s="470"/>
      <c r="E862" s="470"/>
      <c r="F862" s="470"/>
      <c r="G862" s="471"/>
      <c r="H862" s="471"/>
      <c r="I862" s="472"/>
      <c r="J862" s="470"/>
      <c r="K862" s="470"/>
      <c r="L862" s="470"/>
    </row>
    <row r="863" spans="1:12" ht="12.75">
      <c r="A863" s="470"/>
      <c r="B863" s="470"/>
      <c r="C863" s="470"/>
      <c r="D863" s="470"/>
      <c r="E863" s="470"/>
      <c r="F863" s="470"/>
      <c r="G863" s="471"/>
      <c r="H863" s="471"/>
      <c r="I863" s="472"/>
      <c r="J863" s="470"/>
      <c r="K863" s="470"/>
      <c r="L863" s="470"/>
    </row>
    <row r="864" spans="1:12" ht="12.75">
      <c r="A864" s="470"/>
      <c r="B864" s="470"/>
      <c r="C864" s="470"/>
      <c r="D864" s="470"/>
      <c r="E864" s="470"/>
      <c r="F864" s="470"/>
      <c r="G864" s="471"/>
      <c r="H864" s="471"/>
      <c r="I864" s="472"/>
      <c r="J864" s="470"/>
      <c r="K864" s="470"/>
      <c r="L864" s="470"/>
    </row>
    <row r="865" spans="1:12" ht="12.75">
      <c r="A865" s="470"/>
      <c r="B865" s="470"/>
      <c r="C865" s="470"/>
      <c r="D865" s="470"/>
      <c r="E865" s="470"/>
      <c r="F865" s="470"/>
      <c r="G865" s="471"/>
      <c r="H865" s="471"/>
      <c r="I865" s="472"/>
      <c r="J865" s="470"/>
      <c r="K865" s="470"/>
      <c r="L865" s="470"/>
    </row>
    <row r="866" spans="1:12" ht="12.75">
      <c r="A866" s="470"/>
      <c r="B866" s="470"/>
      <c r="C866" s="470"/>
      <c r="D866" s="470"/>
      <c r="E866" s="470"/>
      <c r="F866" s="470"/>
      <c r="G866" s="471"/>
      <c r="H866" s="471"/>
      <c r="I866" s="472"/>
      <c r="J866" s="470"/>
      <c r="K866" s="470"/>
      <c r="L866" s="470"/>
    </row>
    <row r="867" spans="1:12" ht="12.75">
      <c r="A867" s="470"/>
      <c r="B867" s="470"/>
      <c r="C867" s="470"/>
      <c r="D867" s="470"/>
      <c r="E867" s="470"/>
      <c r="F867" s="470"/>
      <c r="G867" s="471"/>
      <c r="H867" s="471"/>
      <c r="I867" s="472"/>
      <c r="J867" s="470"/>
      <c r="K867" s="470"/>
      <c r="L867" s="470"/>
    </row>
    <row r="868" spans="1:12" ht="12.75">
      <c r="A868" s="470"/>
      <c r="B868" s="470"/>
      <c r="C868" s="470"/>
      <c r="D868" s="470"/>
      <c r="E868" s="470"/>
      <c r="F868" s="470"/>
      <c r="G868" s="471"/>
      <c r="H868" s="471"/>
      <c r="I868" s="472"/>
      <c r="J868" s="470"/>
      <c r="K868" s="470"/>
      <c r="L868" s="470"/>
    </row>
    <row r="869" spans="1:12" ht="12.75">
      <c r="A869" s="470"/>
      <c r="B869" s="470"/>
      <c r="C869" s="470"/>
      <c r="D869" s="470"/>
      <c r="E869" s="470"/>
      <c r="F869" s="470"/>
      <c r="G869" s="471"/>
      <c r="H869" s="471"/>
      <c r="I869" s="472"/>
      <c r="J869" s="470"/>
      <c r="K869" s="470"/>
      <c r="L869" s="470"/>
    </row>
    <row r="870" spans="1:12" ht="12.75">
      <c r="A870" s="470"/>
      <c r="B870" s="470"/>
      <c r="C870" s="470"/>
      <c r="D870" s="470"/>
      <c r="E870" s="470"/>
      <c r="F870" s="470"/>
      <c r="G870" s="471"/>
      <c r="H870" s="471"/>
      <c r="I870" s="472"/>
      <c r="J870" s="470"/>
      <c r="K870" s="470"/>
      <c r="L870" s="470"/>
    </row>
    <row r="871" spans="1:12" ht="12.75">
      <c r="A871" s="470"/>
      <c r="B871" s="470"/>
      <c r="C871" s="470"/>
      <c r="D871" s="470"/>
      <c r="E871" s="470"/>
      <c r="F871" s="470"/>
      <c r="G871" s="471"/>
      <c r="H871" s="471"/>
      <c r="I871" s="472"/>
      <c r="J871" s="470"/>
      <c r="K871" s="470"/>
      <c r="L871" s="470"/>
    </row>
    <row r="872" spans="1:12" ht="12.75">
      <c r="A872" s="470"/>
      <c r="B872" s="470"/>
      <c r="C872" s="470"/>
      <c r="D872" s="470"/>
      <c r="E872" s="470"/>
      <c r="F872" s="470"/>
      <c r="G872" s="471"/>
      <c r="H872" s="471"/>
      <c r="I872" s="472"/>
      <c r="J872" s="470"/>
      <c r="K872" s="470"/>
      <c r="L872" s="470"/>
    </row>
    <row r="873" spans="1:12" ht="12.75">
      <c r="A873" s="470"/>
      <c r="B873" s="470"/>
      <c r="C873" s="470"/>
      <c r="D873" s="470"/>
      <c r="E873" s="470"/>
      <c r="F873" s="470"/>
      <c r="G873" s="471"/>
      <c r="H873" s="471"/>
      <c r="I873" s="472"/>
      <c r="J873" s="470"/>
      <c r="K873" s="470"/>
      <c r="L873" s="470"/>
    </row>
    <row r="874" spans="1:12" ht="12.75">
      <c r="A874" s="470"/>
      <c r="B874" s="470"/>
      <c r="C874" s="470"/>
      <c r="D874" s="470"/>
      <c r="E874" s="470"/>
      <c r="F874" s="470"/>
      <c r="G874" s="471"/>
      <c r="H874" s="471"/>
      <c r="I874" s="472"/>
      <c r="J874" s="470"/>
      <c r="K874" s="470"/>
      <c r="L874" s="470"/>
    </row>
    <row r="875" spans="1:12" ht="12.75">
      <c r="A875" s="470"/>
      <c r="B875" s="470"/>
      <c r="C875" s="470"/>
      <c r="D875" s="470"/>
      <c r="E875" s="470"/>
      <c r="F875" s="470"/>
      <c r="G875" s="471"/>
      <c r="H875" s="471"/>
      <c r="I875" s="472"/>
      <c r="J875" s="470"/>
      <c r="K875" s="470"/>
      <c r="L875" s="470"/>
    </row>
    <row r="876" spans="1:12" ht="12.75">
      <c r="A876" s="470"/>
      <c r="B876" s="470"/>
      <c r="C876" s="470"/>
      <c r="D876" s="470"/>
      <c r="E876" s="470"/>
      <c r="F876" s="470"/>
      <c r="G876" s="471"/>
      <c r="H876" s="471"/>
      <c r="I876" s="472"/>
      <c r="J876" s="470"/>
      <c r="K876" s="470"/>
      <c r="L876" s="470"/>
    </row>
    <row r="877" spans="1:12" ht="12.75">
      <c r="A877" s="470"/>
      <c r="B877" s="470"/>
      <c r="C877" s="470"/>
      <c r="D877" s="470"/>
      <c r="E877" s="470"/>
      <c r="F877" s="470"/>
      <c r="G877" s="470"/>
      <c r="H877" s="471"/>
      <c r="I877" s="472"/>
      <c r="J877" s="470"/>
      <c r="K877" s="470"/>
      <c r="L877" s="470"/>
    </row>
    <row r="878" spans="1:12" ht="12.75">
      <c r="A878" s="470"/>
      <c r="B878" s="470"/>
      <c r="C878" s="470"/>
      <c r="D878" s="470"/>
      <c r="E878" s="470"/>
      <c r="F878" s="470"/>
      <c r="G878" s="471"/>
      <c r="H878" s="471"/>
      <c r="I878" s="472"/>
      <c r="J878" s="470"/>
      <c r="K878" s="470"/>
      <c r="L878" s="470"/>
    </row>
    <row r="879" spans="1:12" ht="12.75">
      <c r="A879" s="470"/>
      <c r="B879" s="470"/>
      <c r="C879" s="470"/>
      <c r="D879" s="470"/>
      <c r="E879" s="470"/>
      <c r="F879" s="470"/>
      <c r="G879" s="471"/>
      <c r="H879" s="471"/>
      <c r="I879" s="472"/>
      <c r="J879" s="470"/>
      <c r="K879" s="470"/>
      <c r="L879" s="470"/>
    </row>
    <row r="880" spans="1:12" ht="12.75">
      <c r="A880" s="470"/>
      <c r="B880" s="470"/>
      <c r="C880" s="470"/>
      <c r="D880" s="470"/>
      <c r="E880" s="470"/>
      <c r="F880" s="470"/>
      <c r="G880" s="471"/>
      <c r="H880" s="471"/>
      <c r="I880" s="472"/>
      <c r="J880" s="470"/>
      <c r="K880" s="470"/>
      <c r="L880" s="470"/>
    </row>
    <row r="881" spans="1:12" ht="12.75">
      <c r="A881" s="470"/>
      <c r="B881" s="470"/>
      <c r="C881" s="470"/>
      <c r="D881" s="470"/>
      <c r="E881" s="470"/>
      <c r="F881" s="470"/>
      <c r="G881" s="471"/>
      <c r="H881" s="471"/>
      <c r="I881" s="472"/>
      <c r="J881" s="470"/>
      <c r="K881" s="470"/>
      <c r="L881" s="470"/>
    </row>
    <row r="882" spans="1:12" ht="12.75">
      <c r="A882" s="470"/>
      <c r="B882" s="470"/>
      <c r="C882" s="470"/>
      <c r="D882" s="470"/>
      <c r="E882" s="470"/>
      <c r="F882" s="470"/>
      <c r="G882" s="471"/>
      <c r="H882" s="471"/>
      <c r="I882" s="472"/>
      <c r="J882" s="470"/>
      <c r="K882" s="470"/>
      <c r="L882" s="470"/>
    </row>
    <row r="883" spans="1:12" ht="12.75">
      <c r="A883" s="470"/>
      <c r="B883" s="470"/>
      <c r="C883" s="470"/>
      <c r="D883" s="470"/>
      <c r="E883" s="470"/>
      <c r="F883" s="470"/>
      <c r="G883" s="471"/>
      <c r="H883" s="471"/>
      <c r="I883" s="472"/>
      <c r="J883" s="470"/>
      <c r="K883" s="470"/>
      <c r="L883" s="470"/>
    </row>
    <row r="884" spans="1:12" ht="12.75">
      <c r="A884" s="470"/>
      <c r="B884" s="470"/>
      <c r="C884" s="470"/>
      <c r="D884" s="470"/>
      <c r="E884" s="470"/>
      <c r="F884" s="470"/>
      <c r="G884" s="471"/>
      <c r="H884" s="471"/>
      <c r="I884" s="472"/>
      <c r="J884" s="470"/>
      <c r="K884" s="470"/>
      <c r="L884" s="470"/>
    </row>
    <row r="885" spans="1:12" ht="12.75">
      <c r="A885" s="470"/>
      <c r="B885" s="470"/>
      <c r="C885" s="470"/>
      <c r="D885" s="470"/>
      <c r="E885" s="470"/>
      <c r="F885" s="470"/>
      <c r="G885" s="471"/>
      <c r="H885" s="471"/>
      <c r="I885" s="472"/>
      <c r="J885" s="470"/>
      <c r="K885" s="470"/>
      <c r="L885" s="470"/>
    </row>
    <row r="886" spans="1:12" ht="12.75">
      <c r="A886" s="470"/>
      <c r="B886" s="470"/>
      <c r="C886" s="470"/>
      <c r="D886" s="470"/>
      <c r="E886" s="470"/>
      <c r="F886" s="470"/>
      <c r="G886" s="471"/>
      <c r="H886" s="471"/>
      <c r="I886" s="472"/>
      <c r="J886" s="470"/>
      <c r="K886" s="470"/>
      <c r="L886" s="470"/>
    </row>
    <row r="887" spans="1:12" ht="12.75">
      <c r="A887" s="470"/>
      <c r="B887" s="470"/>
      <c r="C887" s="470"/>
      <c r="D887" s="470"/>
      <c r="E887" s="470"/>
      <c r="F887" s="470"/>
      <c r="G887" s="471"/>
      <c r="H887" s="471"/>
      <c r="I887" s="472"/>
      <c r="J887" s="470"/>
      <c r="K887" s="470"/>
      <c r="L887" s="470"/>
    </row>
    <row r="888" spans="1:12" ht="12.75">
      <c r="A888" s="470"/>
      <c r="B888" s="470"/>
      <c r="C888" s="470"/>
      <c r="D888" s="470"/>
      <c r="E888" s="470"/>
      <c r="F888" s="470"/>
      <c r="G888" s="470"/>
      <c r="H888" s="471"/>
      <c r="I888" s="472"/>
      <c r="J888" s="470"/>
      <c r="K888" s="470"/>
      <c r="L888" s="470"/>
    </row>
    <row r="889" spans="1:12" ht="12.75">
      <c r="A889" s="470"/>
      <c r="B889" s="470"/>
      <c r="C889" s="470"/>
      <c r="D889" s="470"/>
      <c r="E889" s="470"/>
      <c r="F889" s="470"/>
      <c r="G889" s="471"/>
      <c r="H889" s="471"/>
      <c r="I889" s="472"/>
      <c r="J889" s="470"/>
      <c r="K889" s="470"/>
      <c r="L889" s="470"/>
    </row>
    <row r="890" spans="1:12" ht="12.75">
      <c r="A890" s="470"/>
      <c r="B890" s="470"/>
      <c r="C890" s="470"/>
      <c r="D890" s="470"/>
      <c r="E890" s="470"/>
      <c r="F890" s="470"/>
      <c r="G890" s="471"/>
      <c r="H890" s="470"/>
      <c r="I890" s="472"/>
      <c r="J890" s="470"/>
      <c r="K890" s="470"/>
      <c r="L890" s="470"/>
    </row>
    <row r="891" spans="1:12" ht="12.75">
      <c r="A891" s="470"/>
      <c r="B891" s="470"/>
      <c r="C891" s="470"/>
      <c r="D891" s="470"/>
      <c r="E891" s="470"/>
      <c r="F891" s="470"/>
      <c r="G891" s="471"/>
      <c r="H891" s="471"/>
      <c r="I891" s="472"/>
      <c r="J891" s="470"/>
      <c r="K891" s="470"/>
      <c r="L891" s="470"/>
    </row>
    <row r="892" spans="1:12" ht="12.75">
      <c r="A892" s="470"/>
      <c r="B892" s="470"/>
      <c r="C892" s="470"/>
      <c r="D892" s="470"/>
      <c r="E892" s="470"/>
      <c r="F892" s="470"/>
      <c r="G892" s="471"/>
      <c r="H892" s="471"/>
      <c r="I892" s="472"/>
      <c r="J892" s="470"/>
      <c r="K892" s="470"/>
      <c r="L892" s="470"/>
    </row>
    <row r="893" spans="1:12" ht="12.75">
      <c r="A893" s="470"/>
      <c r="B893" s="470"/>
      <c r="C893" s="470"/>
      <c r="D893" s="470"/>
      <c r="E893" s="470"/>
      <c r="F893" s="470"/>
      <c r="G893" s="471"/>
      <c r="H893" s="471"/>
      <c r="I893" s="472"/>
      <c r="J893" s="470"/>
      <c r="K893" s="470"/>
      <c r="L893" s="470"/>
    </row>
    <row r="894" spans="1:12" ht="12.75">
      <c r="A894" s="470"/>
      <c r="B894" s="470"/>
      <c r="C894" s="470"/>
      <c r="D894" s="470"/>
      <c r="E894" s="470"/>
      <c r="F894" s="470"/>
      <c r="G894" s="471"/>
      <c r="H894" s="471"/>
      <c r="I894" s="472"/>
      <c r="J894" s="470"/>
      <c r="K894" s="470"/>
      <c r="L894" s="470"/>
    </row>
    <row r="895" spans="1:12" ht="12.75">
      <c r="A895" s="470"/>
      <c r="B895" s="470"/>
      <c r="C895" s="470"/>
      <c r="D895" s="470"/>
      <c r="E895" s="470"/>
      <c r="F895" s="470"/>
      <c r="G895" s="471"/>
      <c r="H895" s="471"/>
      <c r="I895" s="472"/>
      <c r="J895" s="470"/>
      <c r="K895" s="470"/>
      <c r="L895" s="470"/>
    </row>
    <row r="896" spans="1:12" ht="12.75">
      <c r="A896" s="470"/>
      <c r="B896" s="470"/>
      <c r="C896" s="470"/>
      <c r="D896" s="470"/>
      <c r="E896" s="470"/>
      <c r="F896" s="470"/>
      <c r="G896" s="471"/>
      <c r="H896" s="470"/>
      <c r="I896" s="472"/>
      <c r="J896" s="470"/>
      <c r="K896" s="470"/>
      <c r="L896" s="470"/>
    </row>
    <row r="897" spans="1:12" ht="12.75">
      <c r="A897" s="470"/>
      <c r="B897" s="470"/>
      <c r="C897" s="470"/>
      <c r="D897" s="470"/>
      <c r="E897" s="470"/>
      <c r="F897" s="470"/>
      <c r="G897" s="471"/>
      <c r="H897" s="470"/>
      <c r="I897" s="472"/>
      <c r="J897" s="470"/>
      <c r="K897" s="470"/>
      <c r="L897" s="470"/>
    </row>
    <row r="898" spans="1:12" ht="12.75">
      <c r="A898" s="470"/>
      <c r="B898" s="470"/>
      <c r="C898" s="470"/>
      <c r="D898" s="470"/>
      <c r="E898" s="470"/>
      <c r="F898" s="470"/>
      <c r="G898" s="471"/>
      <c r="H898" s="471"/>
      <c r="I898" s="472"/>
      <c r="J898" s="470"/>
      <c r="K898" s="470"/>
      <c r="L898" s="470"/>
    </row>
    <row r="899" spans="1:12" ht="12.75">
      <c r="A899" s="470"/>
      <c r="B899" s="470"/>
      <c r="C899" s="470"/>
      <c r="D899" s="470"/>
      <c r="E899" s="470"/>
      <c r="F899" s="470"/>
      <c r="G899" s="471"/>
      <c r="H899" s="471"/>
      <c r="I899" s="472"/>
      <c r="J899" s="470"/>
      <c r="K899" s="470"/>
      <c r="L899" s="470"/>
    </row>
    <row r="900" spans="1:12" ht="12.75">
      <c r="A900" s="470"/>
      <c r="B900" s="470"/>
      <c r="C900" s="470"/>
      <c r="D900" s="470"/>
      <c r="E900" s="470"/>
      <c r="F900" s="470"/>
      <c r="G900" s="471"/>
      <c r="H900" s="471"/>
      <c r="I900" s="472"/>
      <c r="J900" s="470"/>
      <c r="K900" s="470"/>
      <c r="L900" s="470"/>
    </row>
    <row r="901" spans="1:12" ht="12.75">
      <c r="A901" s="470"/>
      <c r="B901" s="470"/>
      <c r="C901" s="470"/>
      <c r="D901" s="470"/>
      <c r="E901" s="470"/>
      <c r="F901" s="470"/>
      <c r="G901" s="471"/>
      <c r="H901" s="471"/>
      <c r="I901" s="472"/>
      <c r="J901" s="470"/>
      <c r="K901" s="470"/>
      <c r="L901" s="470"/>
    </row>
    <row r="902" spans="1:12" ht="12.75">
      <c r="A902" s="470"/>
      <c r="B902" s="470"/>
      <c r="C902" s="470"/>
      <c r="D902" s="470"/>
      <c r="E902" s="470"/>
      <c r="F902" s="470"/>
      <c r="G902" s="471"/>
      <c r="H902" s="471"/>
      <c r="I902" s="472"/>
      <c r="J902" s="470"/>
      <c r="K902" s="470"/>
      <c r="L902" s="470"/>
    </row>
    <row r="903" spans="1:12" ht="12.75">
      <c r="A903" s="470"/>
      <c r="B903" s="470"/>
      <c r="C903" s="470"/>
      <c r="D903" s="470"/>
      <c r="E903" s="470"/>
      <c r="F903" s="470"/>
      <c r="G903" s="471"/>
      <c r="H903" s="471"/>
      <c r="I903" s="472"/>
      <c r="J903" s="470"/>
      <c r="K903" s="470"/>
      <c r="L903" s="470"/>
    </row>
    <row r="904" spans="1:12" ht="12.75">
      <c r="A904" s="470"/>
      <c r="B904" s="470"/>
      <c r="C904" s="470"/>
      <c r="D904" s="470"/>
      <c r="E904" s="470"/>
      <c r="F904" s="470"/>
      <c r="G904" s="471"/>
      <c r="H904" s="471"/>
      <c r="I904" s="472"/>
      <c r="J904" s="470"/>
      <c r="K904" s="470"/>
      <c r="L904" s="470"/>
    </row>
    <row r="905" spans="1:12" ht="12.75">
      <c r="A905" s="470"/>
      <c r="B905" s="470"/>
      <c r="C905" s="470"/>
      <c r="D905" s="470"/>
      <c r="E905" s="470"/>
      <c r="F905" s="470"/>
      <c r="G905" s="471"/>
      <c r="H905" s="471"/>
      <c r="I905" s="472"/>
      <c r="J905" s="470"/>
      <c r="K905" s="470"/>
      <c r="L905" s="470"/>
    </row>
    <row r="906" spans="1:12" ht="12.75">
      <c r="A906" s="470"/>
      <c r="B906" s="470"/>
      <c r="C906" s="470"/>
      <c r="D906" s="470"/>
      <c r="E906" s="470"/>
      <c r="F906" s="470"/>
      <c r="G906" s="471"/>
      <c r="H906" s="471"/>
      <c r="I906" s="472"/>
      <c r="J906" s="470"/>
      <c r="K906" s="470"/>
      <c r="L906" s="470"/>
    </row>
    <row r="907" spans="1:12" ht="12.75">
      <c r="A907" s="470"/>
      <c r="B907" s="470"/>
      <c r="C907" s="470"/>
      <c r="D907" s="470"/>
      <c r="E907" s="470"/>
      <c r="F907" s="470"/>
      <c r="G907" s="471"/>
      <c r="H907" s="471"/>
      <c r="I907" s="472"/>
      <c r="J907" s="470"/>
      <c r="K907" s="470"/>
      <c r="L907" s="470"/>
    </row>
    <row r="908" spans="1:12" ht="12.75">
      <c r="A908" s="470"/>
      <c r="B908" s="470"/>
      <c r="C908" s="470"/>
      <c r="D908" s="470"/>
      <c r="E908" s="470"/>
      <c r="F908" s="470"/>
      <c r="G908" s="471"/>
      <c r="H908" s="471"/>
      <c r="I908" s="472"/>
      <c r="J908" s="470"/>
      <c r="K908" s="470"/>
      <c r="L908" s="470"/>
    </row>
    <row r="909" spans="1:12" ht="12.75">
      <c r="A909" s="470"/>
      <c r="B909" s="470"/>
      <c r="C909" s="470"/>
      <c r="D909" s="470"/>
      <c r="E909" s="470"/>
      <c r="F909" s="470"/>
      <c r="G909" s="471"/>
      <c r="H909" s="471"/>
      <c r="I909" s="472"/>
      <c r="J909" s="470"/>
      <c r="K909" s="470"/>
      <c r="L909" s="470"/>
    </row>
    <row r="910" spans="1:12" ht="12.75">
      <c r="A910" s="470"/>
      <c r="B910" s="470"/>
      <c r="C910" s="470"/>
      <c r="D910" s="470"/>
      <c r="E910" s="470"/>
      <c r="F910" s="470"/>
      <c r="G910" s="471"/>
      <c r="H910" s="471"/>
      <c r="I910" s="472"/>
      <c r="J910" s="470"/>
      <c r="K910" s="470"/>
      <c r="L910" s="470"/>
    </row>
    <row r="911" spans="1:12" ht="12.75">
      <c r="A911" s="470"/>
      <c r="B911" s="470"/>
      <c r="C911" s="470"/>
      <c r="D911" s="470"/>
      <c r="E911" s="470"/>
      <c r="F911" s="470"/>
      <c r="G911" s="470"/>
      <c r="H911" s="470"/>
      <c r="I911" s="472"/>
      <c r="J911" s="470"/>
      <c r="K911" s="470"/>
      <c r="L911" s="470"/>
    </row>
    <row r="912" spans="1:12" ht="12.75">
      <c r="A912" s="470"/>
      <c r="B912" s="470"/>
      <c r="C912" s="470"/>
      <c r="D912" s="470"/>
      <c r="E912" s="470"/>
      <c r="F912" s="470"/>
      <c r="G912" s="471"/>
      <c r="H912" s="471"/>
      <c r="I912" s="472"/>
      <c r="J912" s="470"/>
      <c r="K912" s="470"/>
      <c r="L912" s="470"/>
    </row>
    <row r="913" spans="1:12" ht="12.75">
      <c r="A913" s="470"/>
      <c r="B913" s="470"/>
      <c r="C913" s="470"/>
      <c r="D913" s="470"/>
      <c r="E913" s="470"/>
      <c r="F913" s="470"/>
      <c r="G913" s="471"/>
      <c r="H913" s="471"/>
      <c r="I913" s="472"/>
      <c r="J913" s="470"/>
      <c r="K913" s="470"/>
      <c r="L913" s="470"/>
    </row>
    <row r="914" spans="1:12" ht="12.75">
      <c r="A914" s="470"/>
      <c r="B914" s="470"/>
      <c r="C914" s="470"/>
      <c r="D914" s="470"/>
      <c r="E914" s="470"/>
      <c r="F914" s="470"/>
      <c r="G914" s="471"/>
      <c r="H914" s="471"/>
      <c r="I914" s="472"/>
      <c r="J914" s="470"/>
      <c r="K914" s="470"/>
      <c r="L914" s="470"/>
    </row>
    <row r="915" spans="1:12" ht="12.75">
      <c r="A915" s="470"/>
      <c r="B915" s="470"/>
      <c r="C915" s="470"/>
      <c r="D915" s="470"/>
      <c r="E915" s="470"/>
      <c r="F915" s="470"/>
      <c r="G915" s="471"/>
      <c r="H915" s="471"/>
      <c r="I915" s="472"/>
      <c r="J915" s="470"/>
      <c r="K915" s="470"/>
      <c r="L915" s="470"/>
    </row>
    <row r="916" spans="1:12" ht="12.75">
      <c r="A916" s="470"/>
      <c r="B916" s="470"/>
      <c r="C916" s="470"/>
      <c r="D916" s="470"/>
      <c r="E916" s="470"/>
      <c r="F916" s="470"/>
      <c r="G916" s="471"/>
      <c r="H916" s="471"/>
      <c r="I916" s="472"/>
      <c r="J916" s="470"/>
      <c r="K916" s="470"/>
      <c r="L916" s="470"/>
    </row>
    <row r="917" spans="1:12" ht="12.75">
      <c r="A917" s="470"/>
      <c r="B917" s="470"/>
      <c r="C917" s="470"/>
      <c r="D917" s="470"/>
      <c r="E917" s="470"/>
      <c r="F917" s="470"/>
      <c r="G917" s="471"/>
      <c r="H917" s="471"/>
      <c r="I917" s="472"/>
      <c r="J917" s="470"/>
      <c r="K917" s="470"/>
      <c r="L917" s="470"/>
    </row>
    <row r="918" spans="1:12" ht="12.75">
      <c r="A918" s="470"/>
      <c r="B918" s="470"/>
      <c r="C918" s="470"/>
      <c r="D918" s="470"/>
      <c r="E918" s="470"/>
      <c r="F918" s="470"/>
      <c r="G918" s="471"/>
      <c r="H918" s="471"/>
      <c r="I918" s="472"/>
      <c r="J918" s="470"/>
      <c r="K918" s="470"/>
      <c r="L918" s="470"/>
    </row>
    <row r="919" spans="1:12" ht="12.75">
      <c r="A919" s="470"/>
      <c r="B919" s="470"/>
      <c r="C919" s="470"/>
      <c r="D919" s="470"/>
      <c r="E919" s="470"/>
      <c r="F919" s="470"/>
      <c r="G919" s="471"/>
      <c r="H919" s="471"/>
      <c r="I919" s="472"/>
      <c r="J919" s="470"/>
      <c r="K919" s="470"/>
      <c r="L919" s="470"/>
    </row>
    <row r="920" spans="1:12" ht="12.75">
      <c r="A920" s="470"/>
      <c r="B920" s="470"/>
      <c r="C920" s="470"/>
      <c r="D920" s="470"/>
      <c r="E920" s="470"/>
      <c r="F920" s="470"/>
      <c r="G920" s="471"/>
      <c r="H920" s="471"/>
      <c r="I920" s="472"/>
      <c r="J920" s="470"/>
      <c r="K920" s="470"/>
      <c r="L920" s="470"/>
    </row>
    <row r="921" spans="1:12" ht="12.75">
      <c r="A921" s="470"/>
      <c r="B921" s="470"/>
      <c r="C921" s="470"/>
      <c r="D921" s="470"/>
      <c r="E921" s="470"/>
      <c r="F921" s="470"/>
      <c r="G921" s="471"/>
      <c r="H921" s="471"/>
      <c r="I921" s="472"/>
      <c r="J921" s="470"/>
      <c r="K921" s="470"/>
      <c r="L921" s="470"/>
    </row>
    <row r="922" spans="1:12" ht="12.75">
      <c r="A922" s="470"/>
      <c r="B922" s="470"/>
      <c r="C922" s="470"/>
      <c r="D922" s="470"/>
      <c r="E922" s="470"/>
      <c r="F922" s="470"/>
      <c r="G922" s="471"/>
      <c r="H922" s="471"/>
      <c r="I922" s="472"/>
      <c r="J922" s="470"/>
      <c r="K922" s="470"/>
      <c r="L922" s="470"/>
    </row>
    <row r="923" spans="1:12" ht="12.75">
      <c r="A923" s="470"/>
      <c r="B923" s="470"/>
      <c r="C923" s="470"/>
      <c r="D923" s="470"/>
      <c r="E923" s="470"/>
      <c r="F923" s="470"/>
      <c r="G923" s="471"/>
      <c r="H923" s="471"/>
      <c r="I923" s="472"/>
      <c r="J923" s="470"/>
      <c r="K923" s="470"/>
      <c r="L923" s="470"/>
    </row>
    <row r="924" spans="1:12" ht="12.75">
      <c r="A924" s="470"/>
      <c r="B924" s="470"/>
      <c r="C924" s="470"/>
      <c r="D924" s="470"/>
      <c r="E924" s="470"/>
      <c r="F924" s="470"/>
      <c r="G924" s="471"/>
      <c r="H924" s="471"/>
      <c r="I924" s="472"/>
      <c r="J924" s="470"/>
      <c r="K924" s="470"/>
      <c r="L924" s="470"/>
    </row>
    <row r="925" spans="1:12" ht="12.75">
      <c r="A925" s="470"/>
      <c r="B925" s="470"/>
      <c r="C925" s="470"/>
      <c r="D925" s="470"/>
      <c r="E925" s="470"/>
      <c r="F925" s="470"/>
      <c r="G925" s="471"/>
      <c r="H925" s="471"/>
      <c r="I925" s="472"/>
      <c r="J925" s="470"/>
      <c r="K925" s="470"/>
      <c r="L925" s="470"/>
    </row>
    <row r="926" spans="1:12" ht="12.75">
      <c r="A926" s="470"/>
      <c r="B926" s="470"/>
      <c r="C926" s="470"/>
      <c r="D926" s="470"/>
      <c r="E926" s="470"/>
      <c r="F926" s="470"/>
      <c r="G926" s="471"/>
      <c r="H926" s="471"/>
      <c r="I926" s="472"/>
      <c r="J926" s="470"/>
      <c r="K926" s="470"/>
      <c r="L926" s="470"/>
    </row>
    <row r="927" spans="1:12" ht="12.75">
      <c r="A927" s="470"/>
      <c r="B927" s="470"/>
      <c r="C927" s="470"/>
      <c r="D927" s="470"/>
      <c r="E927" s="470"/>
      <c r="F927" s="470"/>
      <c r="G927" s="471"/>
      <c r="H927" s="471"/>
      <c r="I927" s="472"/>
      <c r="J927" s="470"/>
      <c r="K927" s="470"/>
      <c r="L927" s="470"/>
    </row>
    <row r="928" spans="1:12" ht="12.75">
      <c r="A928" s="470"/>
      <c r="B928" s="470"/>
      <c r="C928" s="470"/>
      <c r="D928" s="470"/>
      <c r="E928" s="470"/>
      <c r="F928" s="470"/>
      <c r="G928" s="470"/>
      <c r="H928" s="471"/>
      <c r="I928" s="472"/>
      <c r="J928" s="470"/>
      <c r="K928" s="470"/>
      <c r="L928" s="470"/>
    </row>
    <row r="929" spans="1:12" ht="12.75">
      <c r="A929" s="470"/>
      <c r="B929" s="470"/>
      <c r="C929" s="470"/>
      <c r="D929" s="470"/>
      <c r="E929" s="470"/>
      <c r="F929" s="470"/>
      <c r="G929" s="470"/>
      <c r="H929" s="471"/>
      <c r="I929" s="472"/>
      <c r="J929" s="470"/>
      <c r="K929" s="470"/>
      <c r="L929" s="470"/>
    </row>
    <row r="930" spans="1:12" ht="12.75">
      <c r="A930" s="470"/>
      <c r="B930" s="470"/>
      <c r="C930" s="470"/>
      <c r="D930" s="470"/>
      <c r="E930" s="470"/>
      <c r="F930" s="470"/>
      <c r="G930" s="471"/>
      <c r="H930" s="471"/>
      <c r="I930" s="472"/>
      <c r="J930" s="470"/>
      <c r="K930" s="470"/>
      <c r="L930" s="470"/>
    </row>
    <row r="931" spans="1:12" ht="12.75">
      <c r="A931" s="470"/>
      <c r="B931" s="470"/>
      <c r="C931" s="470"/>
      <c r="D931" s="470"/>
      <c r="E931" s="470"/>
      <c r="F931" s="470"/>
      <c r="G931" s="471"/>
      <c r="H931" s="471"/>
      <c r="I931" s="472"/>
      <c r="J931" s="470"/>
      <c r="K931" s="470"/>
      <c r="L931" s="470"/>
    </row>
    <row r="932" spans="1:12" ht="12.75">
      <c r="A932" s="470"/>
      <c r="B932" s="470"/>
      <c r="C932" s="470"/>
      <c r="D932" s="470"/>
      <c r="E932" s="470"/>
      <c r="F932" s="470"/>
      <c r="G932" s="471"/>
      <c r="H932" s="471"/>
      <c r="I932" s="472"/>
      <c r="J932" s="470"/>
      <c r="K932" s="470"/>
      <c r="L932" s="470"/>
    </row>
    <row r="933" spans="1:12" ht="12.75">
      <c r="A933" s="470"/>
      <c r="B933" s="470"/>
      <c r="C933" s="470"/>
      <c r="D933" s="470"/>
      <c r="E933" s="470"/>
      <c r="F933" s="470"/>
      <c r="G933" s="471"/>
      <c r="H933" s="471"/>
      <c r="I933" s="472"/>
      <c r="J933" s="470"/>
      <c r="K933" s="470"/>
      <c r="L933" s="470"/>
    </row>
    <row r="934" spans="1:12" ht="12.75">
      <c r="A934" s="470"/>
      <c r="B934" s="470"/>
      <c r="C934" s="470"/>
      <c r="D934" s="470"/>
      <c r="E934" s="470"/>
      <c r="F934" s="470"/>
      <c r="G934" s="471"/>
      <c r="H934" s="471"/>
      <c r="I934" s="472"/>
      <c r="J934" s="470"/>
      <c r="K934" s="470"/>
      <c r="L934" s="470"/>
    </row>
    <row r="935" spans="1:12" ht="12.75">
      <c r="A935" s="470"/>
      <c r="B935" s="470"/>
      <c r="C935" s="470"/>
      <c r="D935" s="470"/>
      <c r="E935" s="470"/>
      <c r="F935" s="470"/>
      <c r="G935" s="471"/>
      <c r="H935" s="471"/>
      <c r="I935" s="472"/>
      <c r="J935" s="470"/>
      <c r="K935" s="470"/>
      <c r="L935" s="470"/>
    </row>
    <row r="936" spans="1:12" ht="12.75">
      <c r="A936" s="470"/>
      <c r="B936" s="470"/>
      <c r="C936" s="470"/>
      <c r="D936" s="470"/>
      <c r="E936" s="470"/>
      <c r="F936" s="470"/>
      <c r="G936" s="471"/>
      <c r="H936" s="471"/>
      <c r="I936" s="472"/>
      <c r="J936" s="470"/>
      <c r="K936" s="470"/>
      <c r="L936" s="470"/>
    </row>
    <row r="937" spans="1:12" ht="12.75">
      <c r="A937" s="470"/>
      <c r="B937" s="470"/>
      <c r="C937" s="470"/>
      <c r="D937" s="470"/>
      <c r="E937" s="470"/>
      <c r="F937" s="470"/>
      <c r="G937" s="471"/>
      <c r="H937" s="471"/>
      <c r="I937" s="472"/>
      <c r="J937" s="470"/>
      <c r="K937" s="470"/>
      <c r="L937" s="470"/>
    </row>
    <row r="938" spans="1:12" ht="12.75">
      <c r="A938" s="470"/>
      <c r="B938" s="470"/>
      <c r="C938" s="470"/>
      <c r="D938" s="470"/>
      <c r="E938" s="470"/>
      <c r="F938" s="470"/>
      <c r="G938" s="471"/>
      <c r="H938" s="471"/>
      <c r="I938" s="472"/>
      <c r="J938" s="470"/>
      <c r="K938" s="470"/>
      <c r="L938" s="470"/>
    </row>
    <row r="939" spans="1:12" ht="12.75">
      <c r="A939" s="470"/>
      <c r="B939" s="470"/>
      <c r="C939" s="470"/>
      <c r="D939" s="470"/>
      <c r="E939" s="470"/>
      <c r="F939" s="470"/>
      <c r="G939" s="471"/>
      <c r="H939" s="471"/>
      <c r="I939" s="472"/>
      <c r="J939" s="470"/>
      <c r="K939" s="470"/>
      <c r="L939" s="470"/>
    </row>
    <row r="940" spans="1:12" ht="12.75">
      <c r="A940" s="470"/>
      <c r="B940" s="470"/>
      <c r="C940" s="470"/>
      <c r="D940" s="470"/>
      <c r="E940" s="470"/>
      <c r="F940" s="470"/>
      <c r="G940" s="471"/>
      <c r="H940" s="471"/>
      <c r="I940" s="472"/>
      <c r="J940" s="470"/>
      <c r="K940" s="470"/>
      <c r="L940" s="470"/>
    </row>
    <row r="941" spans="1:12" ht="12.75">
      <c r="A941" s="470"/>
      <c r="B941" s="470"/>
      <c r="C941" s="470"/>
      <c r="D941" s="470"/>
      <c r="E941" s="470"/>
      <c r="F941" s="470"/>
      <c r="G941" s="471"/>
      <c r="H941" s="471"/>
      <c r="I941" s="472"/>
      <c r="J941" s="470"/>
      <c r="K941" s="470"/>
      <c r="L941" s="470"/>
    </row>
    <row r="942" spans="1:12" ht="12.75">
      <c r="A942" s="470"/>
      <c r="B942" s="470"/>
      <c r="C942" s="470"/>
      <c r="D942" s="470"/>
      <c r="E942" s="470"/>
      <c r="F942" s="470"/>
      <c r="G942" s="471"/>
      <c r="H942" s="471"/>
      <c r="I942" s="472"/>
      <c r="J942" s="470"/>
      <c r="K942" s="470"/>
      <c r="L942" s="470"/>
    </row>
    <row r="943" spans="1:12" ht="12.75">
      <c r="A943" s="470"/>
      <c r="B943" s="470"/>
      <c r="C943" s="470"/>
      <c r="D943" s="470"/>
      <c r="E943" s="470"/>
      <c r="F943" s="470"/>
      <c r="G943" s="471"/>
      <c r="H943" s="471"/>
      <c r="I943" s="472"/>
      <c r="J943" s="470"/>
      <c r="K943" s="470"/>
      <c r="L943" s="470"/>
    </row>
    <row r="944" spans="1:12" ht="12.75">
      <c r="A944" s="470"/>
      <c r="B944" s="470"/>
      <c r="C944" s="470"/>
      <c r="D944" s="470"/>
      <c r="E944" s="470"/>
      <c r="F944" s="470"/>
      <c r="G944" s="471"/>
      <c r="H944" s="471"/>
      <c r="I944" s="472"/>
      <c r="J944" s="470"/>
      <c r="K944" s="470"/>
      <c r="L944" s="470"/>
    </row>
    <row r="945" spans="1:12" ht="12.75">
      <c r="A945" s="470"/>
      <c r="B945" s="470"/>
      <c r="C945" s="470"/>
      <c r="D945" s="470"/>
      <c r="E945" s="470"/>
      <c r="F945" s="470"/>
      <c r="G945" s="471"/>
      <c r="H945" s="471"/>
      <c r="I945" s="472"/>
      <c r="J945" s="470"/>
      <c r="K945" s="470"/>
      <c r="L945" s="470"/>
    </row>
    <row r="946" spans="1:12" ht="12.75">
      <c r="A946" s="470"/>
      <c r="B946" s="470"/>
      <c r="C946" s="470"/>
      <c r="D946" s="470"/>
      <c r="E946" s="470"/>
      <c r="F946" s="470"/>
      <c r="G946" s="471"/>
      <c r="H946" s="470"/>
      <c r="I946" s="472"/>
      <c r="J946" s="470"/>
      <c r="K946" s="470"/>
      <c r="L946" s="470"/>
    </row>
    <row r="947" spans="1:12" ht="12.75">
      <c r="A947" s="470"/>
      <c r="B947" s="470"/>
      <c r="C947" s="470"/>
      <c r="D947" s="470"/>
      <c r="E947" s="470"/>
      <c r="F947" s="470"/>
      <c r="G947" s="471"/>
      <c r="H947" s="470"/>
      <c r="I947" s="472"/>
      <c r="J947" s="470"/>
      <c r="K947" s="470"/>
      <c r="L947" s="470"/>
    </row>
    <row r="948" spans="1:12" ht="12.75">
      <c r="A948" s="470"/>
      <c r="B948" s="470"/>
      <c r="C948" s="470"/>
      <c r="D948" s="470"/>
      <c r="E948" s="470"/>
      <c r="F948" s="470"/>
      <c r="G948" s="471"/>
      <c r="H948" s="470"/>
      <c r="I948" s="472"/>
      <c r="J948" s="470"/>
      <c r="K948" s="470"/>
      <c r="L948" s="470"/>
    </row>
    <row r="949" spans="1:12" ht="12.75">
      <c r="A949" s="470"/>
      <c r="B949" s="470"/>
      <c r="C949" s="470"/>
      <c r="D949" s="470"/>
      <c r="E949" s="470"/>
      <c r="F949" s="470"/>
      <c r="G949" s="471"/>
      <c r="H949" s="470"/>
      <c r="I949" s="472"/>
      <c r="J949" s="470"/>
      <c r="K949" s="470"/>
      <c r="L949" s="470"/>
    </row>
    <row r="950" spans="1:12" ht="12.75">
      <c r="A950" s="470"/>
      <c r="B950" s="470"/>
      <c r="C950" s="470"/>
      <c r="D950" s="470"/>
      <c r="E950" s="470"/>
      <c r="F950" s="470"/>
      <c r="G950" s="471"/>
      <c r="H950" s="470"/>
      <c r="I950" s="472"/>
      <c r="J950" s="470"/>
      <c r="K950" s="470"/>
      <c r="L950" s="470"/>
    </row>
    <row r="951" spans="1:12" ht="12.75">
      <c r="A951" s="470"/>
      <c r="B951" s="470"/>
      <c r="C951" s="470"/>
      <c r="D951" s="470"/>
      <c r="E951" s="470"/>
      <c r="F951" s="470"/>
      <c r="G951" s="471"/>
      <c r="H951" s="470"/>
      <c r="I951" s="472"/>
      <c r="J951" s="470"/>
      <c r="K951" s="470"/>
      <c r="L951" s="470"/>
    </row>
    <row r="952" spans="1:12" ht="12.75">
      <c r="A952" s="470"/>
      <c r="B952" s="470"/>
      <c r="C952" s="470"/>
      <c r="D952" s="470"/>
      <c r="E952" s="470"/>
      <c r="F952" s="470"/>
      <c r="G952" s="471"/>
      <c r="H952" s="470"/>
      <c r="I952" s="472"/>
      <c r="J952" s="470"/>
      <c r="K952" s="470"/>
      <c r="L952" s="470"/>
    </row>
    <row r="953" spans="1:12" ht="12.75">
      <c r="A953" s="470"/>
      <c r="B953" s="470"/>
      <c r="C953" s="470"/>
      <c r="D953" s="470"/>
      <c r="E953" s="470"/>
      <c r="F953" s="470"/>
      <c r="G953" s="471"/>
      <c r="H953" s="471"/>
      <c r="I953" s="472"/>
      <c r="J953" s="470"/>
      <c r="K953" s="470"/>
      <c r="L953" s="470"/>
    </row>
    <row r="954" spans="1:12" ht="12.75">
      <c r="A954" s="470"/>
      <c r="B954" s="470"/>
      <c r="C954" s="470"/>
      <c r="D954" s="470"/>
      <c r="E954" s="470"/>
      <c r="F954" s="470"/>
      <c r="G954" s="471"/>
      <c r="H954" s="471"/>
      <c r="I954" s="472"/>
      <c r="J954" s="470"/>
      <c r="K954" s="470"/>
      <c r="L954" s="470"/>
    </row>
    <row r="955" spans="1:12" ht="12.75">
      <c r="A955" s="470"/>
      <c r="B955" s="470"/>
      <c r="C955" s="470"/>
      <c r="D955" s="470"/>
      <c r="E955" s="470"/>
      <c r="F955" s="470"/>
      <c r="G955" s="470"/>
      <c r="H955" s="470"/>
      <c r="I955" s="472"/>
      <c r="J955" s="470"/>
      <c r="K955" s="470"/>
      <c r="L955" s="470"/>
    </row>
    <row r="956" spans="1:12" ht="12.75">
      <c r="A956" s="470"/>
      <c r="B956" s="470"/>
      <c r="C956" s="470"/>
      <c r="D956" s="470"/>
      <c r="E956" s="470"/>
      <c r="F956" s="470"/>
      <c r="G956" s="471"/>
      <c r="H956" s="471"/>
      <c r="I956" s="472"/>
      <c r="J956" s="470"/>
      <c r="K956" s="470"/>
      <c r="L956" s="470"/>
    </row>
    <row r="957" spans="1:12" ht="12.75">
      <c r="A957" s="470"/>
      <c r="B957" s="470"/>
      <c r="C957" s="470"/>
      <c r="D957" s="470"/>
      <c r="E957" s="470"/>
      <c r="F957" s="470"/>
      <c r="G957" s="471"/>
      <c r="H957" s="471"/>
      <c r="I957" s="472"/>
      <c r="J957" s="470"/>
      <c r="K957" s="470"/>
      <c r="L957" s="470"/>
    </row>
    <row r="958" spans="1:12" ht="12.75">
      <c r="A958" s="470"/>
      <c r="B958" s="470"/>
      <c r="C958" s="470"/>
      <c r="D958" s="470"/>
      <c r="E958" s="470"/>
      <c r="F958" s="470"/>
      <c r="G958" s="471"/>
      <c r="H958" s="470"/>
      <c r="I958" s="472"/>
      <c r="J958" s="470"/>
      <c r="K958" s="470"/>
      <c r="L958" s="470"/>
    </row>
    <row r="959" spans="1:12" ht="12.75">
      <c r="A959" s="470"/>
      <c r="B959" s="470"/>
      <c r="C959" s="470"/>
      <c r="D959" s="470"/>
      <c r="E959" s="470"/>
      <c r="F959" s="470"/>
      <c r="G959" s="471"/>
      <c r="H959" s="471"/>
      <c r="I959" s="472"/>
      <c r="J959" s="470"/>
      <c r="K959" s="470"/>
      <c r="L959" s="470"/>
    </row>
    <row r="960" spans="1:12" ht="12.75">
      <c r="A960" s="470"/>
      <c r="B960" s="470"/>
      <c r="C960" s="470"/>
      <c r="D960" s="470"/>
      <c r="E960" s="470"/>
      <c r="F960" s="470"/>
      <c r="G960" s="471"/>
      <c r="H960" s="470"/>
      <c r="I960" s="472"/>
      <c r="J960" s="470"/>
      <c r="K960" s="470"/>
      <c r="L960" s="470"/>
    </row>
    <row r="961" spans="1:12" ht="12.75">
      <c r="A961" s="470"/>
      <c r="B961" s="470"/>
      <c r="C961" s="470"/>
      <c r="D961" s="470"/>
      <c r="E961" s="470"/>
      <c r="F961" s="470"/>
      <c r="G961" s="471"/>
      <c r="H961" s="471"/>
      <c r="I961" s="472"/>
      <c r="J961" s="470"/>
      <c r="K961" s="470"/>
      <c r="L961" s="470"/>
    </row>
    <row r="962" spans="1:12" ht="12.75">
      <c r="A962" s="470"/>
      <c r="B962" s="470"/>
      <c r="C962" s="470"/>
      <c r="D962" s="470"/>
      <c r="E962" s="470"/>
      <c r="F962" s="470"/>
      <c r="G962" s="470"/>
      <c r="H962" s="470"/>
      <c r="I962" s="472"/>
      <c r="J962" s="470"/>
      <c r="K962" s="470"/>
      <c r="L962" s="470"/>
    </row>
    <row r="963" spans="1:12" ht="12.75">
      <c r="A963" s="470"/>
      <c r="B963" s="470"/>
      <c r="C963" s="470"/>
      <c r="D963" s="470"/>
      <c r="E963" s="470"/>
      <c r="F963" s="470"/>
      <c r="G963" s="470"/>
      <c r="H963" s="470"/>
      <c r="I963" s="472"/>
      <c r="J963" s="470"/>
      <c r="K963" s="470"/>
      <c r="L963" s="470"/>
    </row>
    <row r="964" spans="1:12" ht="12.75">
      <c r="A964" s="470"/>
      <c r="B964" s="470"/>
      <c r="C964" s="470"/>
      <c r="D964" s="470"/>
      <c r="E964" s="470"/>
      <c r="F964" s="470"/>
      <c r="G964" s="470"/>
      <c r="H964" s="470"/>
      <c r="I964" s="472"/>
      <c r="J964" s="470"/>
      <c r="K964" s="470"/>
      <c r="L964" s="470"/>
    </row>
    <row r="965" spans="1:12" ht="12.75">
      <c r="A965" s="470"/>
      <c r="B965" s="470"/>
      <c r="C965" s="470"/>
      <c r="D965" s="470"/>
      <c r="E965" s="470"/>
      <c r="F965" s="470"/>
      <c r="G965" s="470"/>
      <c r="H965" s="470"/>
      <c r="I965" s="472"/>
      <c r="J965" s="470"/>
      <c r="K965" s="470"/>
      <c r="L965" s="470"/>
    </row>
    <row r="966" spans="1:12" ht="12.75">
      <c r="A966" s="470"/>
      <c r="B966" s="470"/>
      <c r="C966" s="470"/>
      <c r="D966" s="470"/>
      <c r="E966" s="470"/>
      <c r="F966" s="470"/>
      <c r="G966" s="470"/>
      <c r="H966" s="470"/>
      <c r="I966" s="472"/>
      <c r="J966" s="470"/>
      <c r="K966" s="470"/>
      <c r="L966" s="470"/>
    </row>
    <row r="967" spans="1:12" ht="12.75">
      <c r="A967" s="470"/>
      <c r="B967" s="470"/>
      <c r="C967" s="470"/>
      <c r="D967" s="470"/>
      <c r="E967" s="470"/>
      <c r="F967" s="470"/>
      <c r="G967" s="470"/>
      <c r="H967" s="470"/>
      <c r="I967" s="472"/>
      <c r="J967" s="470"/>
      <c r="K967" s="470"/>
      <c r="L967" s="470"/>
    </row>
    <row r="968" spans="1:12" ht="12.75">
      <c r="A968" s="470"/>
      <c r="B968" s="470"/>
      <c r="C968" s="470"/>
      <c r="D968" s="470"/>
      <c r="E968" s="470"/>
      <c r="F968" s="470"/>
      <c r="G968" s="470"/>
      <c r="H968" s="470"/>
      <c r="I968" s="472"/>
      <c r="J968" s="470"/>
      <c r="K968" s="470"/>
      <c r="L968" s="470"/>
    </row>
    <row r="969" spans="1:12" ht="12.75">
      <c r="A969" s="470"/>
      <c r="B969" s="470"/>
      <c r="C969" s="470"/>
      <c r="D969" s="470"/>
      <c r="E969" s="470"/>
      <c r="F969" s="470"/>
      <c r="G969" s="470"/>
      <c r="H969" s="470"/>
      <c r="I969" s="472"/>
      <c r="J969" s="470"/>
      <c r="K969" s="470"/>
      <c r="L969" s="470"/>
    </row>
    <row r="970" spans="1:12" ht="12.75">
      <c r="A970" s="470"/>
      <c r="B970" s="470"/>
      <c r="C970" s="470"/>
      <c r="D970" s="470"/>
      <c r="E970" s="470"/>
      <c r="F970" s="470"/>
      <c r="G970" s="471"/>
      <c r="H970" s="471"/>
      <c r="I970" s="472"/>
      <c r="J970" s="470"/>
      <c r="K970" s="470"/>
      <c r="L970" s="470"/>
    </row>
    <row r="971" spans="1:12" ht="12.75">
      <c r="A971" s="470"/>
      <c r="B971" s="470"/>
      <c r="C971" s="470"/>
      <c r="D971" s="470"/>
      <c r="E971" s="470"/>
      <c r="F971" s="470"/>
      <c r="G971" s="471"/>
      <c r="H971" s="471"/>
      <c r="I971" s="472"/>
      <c r="J971" s="470"/>
      <c r="K971" s="470"/>
      <c r="L971" s="470"/>
    </row>
    <row r="972" spans="1:12" ht="12.75">
      <c r="A972" s="470"/>
      <c r="B972" s="470"/>
      <c r="C972" s="470"/>
      <c r="D972" s="470"/>
      <c r="E972" s="470"/>
      <c r="F972" s="470"/>
      <c r="G972" s="471"/>
      <c r="H972" s="471"/>
      <c r="I972" s="472"/>
      <c r="J972" s="470"/>
      <c r="K972" s="470"/>
      <c r="L972" s="470"/>
    </row>
    <row r="973" spans="1:12" ht="12.75">
      <c r="A973" s="470"/>
      <c r="B973" s="470"/>
      <c r="C973" s="470"/>
      <c r="D973" s="470"/>
      <c r="E973" s="470"/>
      <c r="F973" s="470"/>
      <c r="G973" s="471"/>
      <c r="H973" s="471"/>
      <c r="I973" s="472"/>
      <c r="J973" s="470"/>
      <c r="K973" s="470"/>
      <c r="L973" s="470"/>
    </row>
    <row r="974" spans="1:12" ht="12.75">
      <c r="A974" s="470"/>
      <c r="B974" s="470"/>
      <c r="C974" s="470"/>
      <c r="D974" s="470"/>
      <c r="E974" s="470"/>
      <c r="F974" s="470"/>
      <c r="G974" s="471"/>
      <c r="H974" s="471"/>
      <c r="I974" s="472"/>
      <c r="J974" s="470"/>
      <c r="K974" s="470"/>
      <c r="L974" s="470"/>
    </row>
    <row r="975" spans="1:12" ht="12.75">
      <c r="A975" s="470"/>
      <c r="B975" s="470"/>
      <c r="C975" s="470"/>
      <c r="D975" s="470"/>
      <c r="E975" s="470"/>
      <c r="F975" s="470"/>
      <c r="G975" s="471"/>
      <c r="H975" s="471"/>
      <c r="I975" s="472"/>
      <c r="J975" s="470"/>
      <c r="K975" s="470"/>
      <c r="L975" s="470"/>
    </row>
    <row r="976" spans="1:12" ht="12.75">
      <c r="A976" s="470"/>
      <c r="B976" s="470"/>
      <c r="C976" s="470"/>
      <c r="D976" s="470"/>
      <c r="E976" s="470"/>
      <c r="F976" s="470"/>
      <c r="G976" s="471"/>
      <c r="H976" s="471"/>
      <c r="I976" s="472"/>
      <c r="J976" s="470"/>
      <c r="K976" s="470"/>
      <c r="L976" s="470"/>
    </row>
    <row r="977" spans="1:12" ht="12.75">
      <c r="A977" s="470"/>
      <c r="B977" s="470"/>
      <c r="C977" s="470"/>
      <c r="D977" s="470"/>
      <c r="E977" s="470"/>
      <c r="F977" s="470"/>
      <c r="G977" s="471"/>
      <c r="H977" s="471"/>
      <c r="I977" s="472"/>
      <c r="J977" s="470"/>
      <c r="K977" s="470"/>
      <c r="L977" s="470"/>
    </row>
    <row r="978" spans="1:12" ht="12.75">
      <c r="A978" s="470"/>
      <c r="B978" s="470"/>
      <c r="C978" s="470"/>
      <c r="D978" s="470"/>
      <c r="E978" s="470"/>
      <c r="F978" s="470"/>
      <c r="G978" s="471"/>
      <c r="H978" s="471"/>
      <c r="I978" s="472"/>
      <c r="J978" s="470"/>
      <c r="K978" s="470"/>
      <c r="L978" s="470"/>
    </row>
    <row r="979" spans="1:12" ht="12.75">
      <c r="A979" s="470"/>
      <c r="B979" s="470"/>
      <c r="C979" s="470"/>
      <c r="D979" s="470"/>
      <c r="E979" s="470"/>
      <c r="F979" s="470"/>
      <c r="G979" s="471"/>
      <c r="H979" s="470"/>
      <c r="I979" s="472"/>
      <c r="J979" s="470"/>
      <c r="K979" s="470"/>
      <c r="L979" s="470"/>
    </row>
    <row r="980" spans="1:12" ht="12.75">
      <c r="A980" s="470"/>
      <c r="B980" s="470"/>
      <c r="C980" s="470"/>
      <c r="D980" s="470"/>
      <c r="E980" s="470"/>
      <c r="F980" s="470"/>
      <c r="G980" s="471"/>
      <c r="H980" s="470"/>
      <c r="I980" s="472"/>
      <c r="J980" s="470"/>
      <c r="K980" s="470"/>
      <c r="L980" s="470"/>
    </row>
    <row r="981" spans="1:12" ht="12.75">
      <c r="A981" s="470"/>
      <c r="B981" s="470"/>
      <c r="C981" s="470"/>
      <c r="D981" s="470"/>
      <c r="E981" s="470"/>
      <c r="F981" s="470"/>
      <c r="G981" s="471"/>
      <c r="H981" s="471"/>
      <c r="I981" s="472"/>
      <c r="J981" s="470"/>
      <c r="K981" s="470"/>
      <c r="L981" s="470"/>
    </row>
    <row r="982" spans="1:12" ht="12.75">
      <c r="A982" s="470"/>
      <c r="B982" s="470"/>
      <c r="C982" s="470"/>
      <c r="D982" s="470"/>
      <c r="E982" s="470"/>
      <c r="F982" s="470"/>
      <c r="G982" s="471"/>
      <c r="H982" s="471"/>
      <c r="I982" s="472"/>
      <c r="J982" s="470"/>
      <c r="K982" s="470"/>
      <c r="L982" s="470"/>
    </row>
    <row r="983" spans="1:12" ht="12.75">
      <c r="A983" s="470"/>
      <c r="B983" s="470"/>
      <c r="C983" s="470"/>
      <c r="D983" s="470"/>
      <c r="E983" s="470"/>
      <c r="F983" s="470"/>
      <c r="G983" s="471"/>
      <c r="H983" s="471"/>
      <c r="I983" s="472"/>
      <c r="J983" s="470"/>
      <c r="K983" s="470"/>
      <c r="L983" s="470"/>
    </row>
    <row r="984" spans="1:12" ht="12.75">
      <c r="A984" s="470"/>
      <c r="B984" s="470"/>
      <c r="C984" s="470"/>
      <c r="D984" s="470"/>
      <c r="E984" s="470"/>
      <c r="F984" s="470"/>
      <c r="G984" s="471"/>
      <c r="H984" s="471"/>
      <c r="I984" s="472"/>
      <c r="J984" s="470"/>
      <c r="K984" s="470"/>
      <c r="L984" s="470"/>
    </row>
    <row r="985" spans="1:12" ht="12.75">
      <c r="A985" s="470"/>
      <c r="B985" s="470"/>
      <c r="C985" s="470"/>
      <c r="D985" s="470"/>
      <c r="E985" s="470"/>
      <c r="F985" s="470"/>
      <c r="G985" s="471"/>
      <c r="H985" s="471"/>
      <c r="I985" s="472"/>
      <c r="J985" s="470"/>
      <c r="K985" s="470"/>
      <c r="L985" s="470"/>
    </row>
    <row r="986" spans="1:12" ht="12.75">
      <c r="A986" s="470"/>
      <c r="B986" s="470"/>
      <c r="C986" s="470"/>
      <c r="D986" s="470"/>
      <c r="E986" s="470"/>
      <c r="F986" s="470"/>
      <c r="G986" s="471"/>
      <c r="H986" s="471"/>
      <c r="I986" s="472"/>
      <c r="J986" s="470"/>
      <c r="K986" s="470"/>
      <c r="L986" s="470"/>
    </row>
    <row r="987" spans="1:12" ht="12.75">
      <c r="A987" s="470"/>
      <c r="B987" s="470"/>
      <c r="C987" s="470"/>
      <c r="D987" s="470"/>
      <c r="E987" s="470"/>
      <c r="F987" s="470"/>
      <c r="G987" s="471"/>
      <c r="H987" s="471"/>
      <c r="I987" s="472"/>
      <c r="J987" s="470"/>
      <c r="K987" s="470"/>
      <c r="L987" s="470"/>
    </row>
    <row r="988" spans="1:12" ht="12.75">
      <c r="A988" s="470"/>
      <c r="B988" s="470"/>
      <c r="C988" s="470"/>
      <c r="D988" s="470"/>
      <c r="E988" s="470"/>
      <c r="F988" s="470"/>
      <c r="G988" s="471"/>
      <c r="H988" s="471"/>
      <c r="I988" s="472"/>
      <c r="J988" s="470"/>
      <c r="K988" s="470"/>
      <c r="L988" s="470"/>
    </row>
    <row r="989" spans="1:12" ht="12.75">
      <c r="A989" s="470"/>
      <c r="B989" s="470"/>
      <c r="C989" s="470"/>
      <c r="D989" s="470"/>
      <c r="E989" s="470"/>
      <c r="F989" s="470"/>
      <c r="G989" s="471"/>
      <c r="H989" s="471"/>
      <c r="I989" s="472"/>
      <c r="J989" s="470"/>
      <c r="K989" s="470"/>
      <c r="L989" s="470"/>
    </row>
    <row r="990" spans="1:12" ht="12.75">
      <c r="A990" s="470"/>
      <c r="B990" s="470"/>
      <c r="C990" s="470"/>
      <c r="D990" s="470"/>
      <c r="E990" s="470"/>
      <c r="F990" s="470"/>
      <c r="G990" s="471"/>
      <c r="H990" s="471"/>
      <c r="I990" s="472"/>
      <c r="J990" s="470"/>
      <c r="K990" s="470"/>
      <c r="L990" s="470"/>
    </row>
    <row r="991" spans="1:12" ht="12.75">
      <c r="A991" s="470"/>
      <c r="B991" s="470"/>
      <c r="C991" s="470"/>
      <c r="D991" s="470"/>
      <c r="E991" s="470"/>
      <c r="F991" s="470"/>
      <c r="G991" s="471"/>
      <c r="H991" s="471"/>
      <c r="I991" s="472"/>
      <c r="J991" s="470"/>
      <c r="K991" s="470"/>
      <c r="L991" s="470"/>
    </row>
    <row r="992" spans="1:12" ht="12.75">
      <c r="A992" s="470"/>
      <c r="B992" s="470"/>
      <c r="C992" s="470"/>
      <c r="D992" s="470"/>
      <c r="E992" s="470"/>
      <c r="F992" s="470"/>
      <c r="G992" s="471"/>
      <c r="H992" s="471"/>
      <c r="I992" s="472"/>
      <c r="J992" s="470"/>
      <c r="K992" s="470"/>
      <c r="L992" s="470"/>
    </row>
    <row r="993" spans="1:12" ht="12.75">
      <c r="A993" s="470"/>
      <c r="B993" s="470"/>
      <c r="C993" s="470"/>
      <c r="D993" s="470"/>
      <c r="E993" s="470"/>
      <c r="F993" s="470"/>
      <c r="G993" s="471"/>
      <c r="H993" s="471"/>
      <c r="I993" s="472"/>
      <c r="J993" s="470"/>
      <c r="K993" s="470"/>
      <c r="L993" s="470"/>
    </row>
    <row r="994" spans="1:12" ht="12.75">
      <c r="A994" s="470"/>
      <c r="B994" s="470"/>
      <c r="C994" s="470"/>
      <c r="D994" s="470"/>
      <c r="E994" s="470"/>
      <c r="F994" s="470"/>
      <c r="G994" s="471"/>
      <c r="H994" s="471"/>
      <c r="I994" s="472"/>
      <c r="J994" s="470"/>
      <c r="K994" s="470"/>
      <c r="L994" s="470"/>
    </row>
    <row r="995" spans="1:12" ht="12.75">
      <c r="A995" s="470"/>
      <c r="B995" s="470"/>
      <c r="C995" s="470"/>
      <c r="D995" s="470"/>
      <c r="E995" s="470"/>
      <c r="F995" s="470"/>
      <c r="G995" s="470"/>
      <c r="H995" s="471"/>
      <c r="I995" s="472"/>
      <c r="J995" s="470"/>
      <c r="K995" s="470"/>
      <c r="L995" s="470"/>
    </row>
    <row r="996" spans="1:12" ht="12.75">
      <c r="A996" s="470"/>
      <c r="B996" s="470"/>
      <c r="C996" s="470"/>
      <c r="D996" s="470"/>
      <c r="E996" s="470"/>
      <c r="F996" s="470"/>
      <c r="G996" s="470"/>
      <c r="H996" s="470"/>
      <c r="I996" s="472"/>
      <c r="J996" s="470"/>
      <c r="K996" s="470"/>
      <c r="L996" s="470"/>
    </row>
    <row r="997" spans="1:12" ht="12.75">
      <c r="A997" s="470"/>
      <c r="B997" s="470"/>
      <c r="C997" s="470"/>
      <c r="D997" s="470"/>
      <c r="E997" s="470"/>
      <c r="F997" s="470"/>
      <c r="G997" s="471"/>
      <c r="H997" s="471"/>
      <c r="I997" s="472"/>
      <c r="J997" s="470"/>
      <c r="K997" s="470"/>
      <c r="L997" s="470"/>
    </row>
    <row r="998" spans="1:12" ht="12.75">
      <c r="A998" s="470"/>
      <c r="B998" s="470"/>
      <c r="C998" s="470"/>
      <c r="D998" s="470"/>
      <c r="E998" s="470"/>
      <c r="F998" s="470"/>
      <c r="G998" s="471"/>
      <c r="H998" s="471"/>
      <c r="I998" s="472"/>
      <c r="J998" s="470"/>
      <c r="K998" s="470"/>
      <c r="L998" s="470"/>
    </row>
    <row r="999" spans="1:12" ht="12.75">
      <c r="A999" s="470"/>
      <c r="B999" s="470"/>
      <c r="C999" s="470"/>
      <c r="D999" s="470"/>
      <c r="E999" s="470"/>
      <c r="F999" s="470"/>
      <c r="G999" s="471"/>
      <c r="H999" s="471"/>
      <c r="I999" s="472"/>
      <c r="J999" s="470"/>
      <c r="K999" s="470"/>
      <c r="L999" s="470"/>
    </row>
    <row r="1000" spans="1:12" ht="12.75">
      <c r="A1000" s="470"/>
      <c r="B1000" s="470"/>
      <c r="C1000" s="470"/>
      <c r="D1000" s="470"/>
      <c r="E1000" s="470"/>
      <c r="F1000" s="470"/>
      <c r="G1000" s="471"/>
      <c r="H1000" s="471"/>
      <c r="I1000" s="472"/>
      <c r="J1000" s="470"/>
      <c r="K1000" s="470"/>
      <c r="L1000" s="470"/>
    </row>
    <row r="1001" spans="1:12" ht="12.75">
      <c r="A1001" s="470"/>
      <c r="B1001" s="470"/>
      <c r="C1001" s="470"/>
      <c r="D1001" s="470"/>
      <c r="E1001" s="470"/>
      <c r="F1001" s="470"/>
      <c r="G1001" s="471"/>
      <c r="H1001" s="471"/>
      <c r="I1001" s="472"/>
      <c r="J1001" s="470"/>
      <c r="K1001" s="470"/>
      <c r="L1001" s="470"/>
    </row>
    <row r="1002" spans="1:12" ht="12.75">
      <c r="A1002" s="470"/>
      <c r="B1002" s="470"/>
      <c r="C1002" s="470"/>
      <c r="D1002" s="470"/>
      <c r="E1002" s="470"/>
      <c r="F1002" s="470"/>
      <c r="G1002" s="471"/>
      <c r="H1002" s="471"/>
      <c r="I1002" s="472"/>
      <c r="J1002" s="470"/>
      <c r="K1002" s="470"/>
      <c r="L1002" s="470"/>
    </row>
    <row r="1003" spans="1:12" ht="12.75">
      <c r="A1003" s="470"/>
      <c r="B1003" s="470"/>
      <c r="C1003" s="470"/>
      <c r="D1003" s="470"/>
      <c r="E1003" s="470"/>
      <c r="F1003" s="470"/>
      <c r="G1003" s="471"/>
      <c r="H1003" s="471"/>
      <c r="I1003" s="472"/>
      <c r="J1003" s="470"/>
      <c r="K1003" s="470"/>
      <c r="L1003" s="470"/>
    </row>
    <row r="1004" spans="1:12" ht="12.75">
      <c r="A1004" s="470"/>
      <c r="B1004" s="470"/>
      <c r="C1004" s="470"/>
      <c r="D1004" s="470"/>
      <c r="E1004" s="470"/>
      <c r="F1004" s="470"/>
      <c r="G1004" s="471"/>
      <c r="H1004" s="471"/>
      <c r="I1004" s="472"/>
      <c r="J1004" s="470"/>
      <c r="K1004" s="470"/>
      <c r="L1004" s="470"/>
    </row>
    <row r="1005" spans="1:12" ht="12.75">
      <c r="A1005" s="470"/>
      <c r="B1005" s="470"/>
      <c r="C1005" s="470"/>
      <c r="D1005" s="470"/>
      <c r="E1005" s="470"/>
      <c r="F1005" s="470"/>
      <c r="G1005" s="470"/>
      <c r="H1005" s="471"/>
      <c r="I1005" s="472"/>
      <c r="J1005" s="470"/>
      <c r="K1005" s="470"/>
      <c r="L1005" s="470"/>
    </row>
    <row r="1006" spans="1:12" ht="12.75">
      <c r="A1006" s="470"/>
      <c r="B1006" s="470"/>
      <c r="C1006" s="470"/>
      <c r="D1006" s="470"/>
      <c r="E1006" s="470"/>
      <c r="F1006" s="470"/>
      <c r="G1006" s="470"/>
      <c r="H1006" s="471"/>
      <c r="I1006" s="472"/>
      <c r="J1006" s="470"/>
      <c r="K1006" s="470"/>
      <c r="L1006" s="470"/>
    </row>
    <row r="1007" spans="1:12" ht="12.75">
      <c r="A1007" s="470"/>
      <c r="B1007" s="470"/>
      <c r="C1007" s="470"/>
      <c r="D1007" s="470"/>
      <c r="E1007" s="470"/>
      <c r="F1007" s="470"/>
      <c r="G1007" s="470"/>
      <c r="H1007" s="471"/>
      <c r="I1007" s="472"/>
      <c r="J1007" s="470"/>
      <c r="K1007" s="470"/>
      <c r="L1007" s="470"/>
    </row>
    <row r="1008" spans="1:12" ht="12.75">
      <c r="A1008" s="470"/>
      <c r="B1008" s="470"/>
      <c r="C1008" s="470"/>
      <c r="D1008" s="470"/>
      <c r="E1008" s="470"/>
      <c r="F1008" s="470"/>
      <c r="G1008" s="471"/>
      <c r="H1008" s="471"/>
      <c r="I1008" s="472"/>
      <c r="J1008" s="470"/>
      <c r="K1008" s="470"/>
      <c r="L1008" s="470"/>
    </row>
    <row r="1009" spans="1:12" ht="12.75">
      <c r="A1009" s="470"/>
      <c r="B1009" s="470"/>
      <c r="C1009" s="470"/>
      <c r="D1009" s="470"/>
      <c r="E1009" s="470"/>
      <c r="F1009" s="470"/>
      <c r="G1009" s="471"/>
      <c r="H1009" s="471"/>
      <c r="I1009" s="472"/>
      <c r="J1009" s="470"/>
      <c r="K1009" s="470"/>
      <c r="L1009" s="470"/>
    </row>
    <row r="1010" spans="1:12" ht="12.75">
      <c r="A1010" s="470"/>
      <c r="B1010" s="470"/>
      <c r="C1010" s="470"/>
      <c r="D1010" s="470"/>
      <c r="E1010" s="470"/>
      <c r="F1010" s="470"/>
      <c r="G1010" s="471"/>
      <c r="H1010" s="471"/>
      <c r="I1010" s="472"/>
      <c r="J1010" s="470"/>
      <c r="K1010" s="470"/>
      <c r="L1010" s="470"/>
    </row>
    <row r="1011" spans="1:12" ht="12.75">
      <c r="A1011" s="470"/>
      <c r="B1011" s="470"/>
      <c r="C1011" s="470"/>
      <c r="D1011" s="470"/>
      <c r="E1011" s="470"/>
      <c r="F1011" s="470"/>
      <c r="G1011" s="471"/>
      <c r="H1011" s="471"/>
      <c r="I1011" s="472"/>
      <c r="J1011" s="470"/>
      <c r="K1011" s="470"/>
      <c r="L1011" s="470"/>
    </row>
    <row r="1012" spans="1:12" ht="12.75">
      <c r="A1012" s="470"/>
      <c r="B1012" s="470"/>
      <c r="C1012" s="470"/>
      <c r="D1012" s="470"/>
      <c r="E1012" s="470"/>
      <c r="F1012" s="470"/>
      <c r="G1012" s="471"/>
      <c r="H1012" s="471"/>
      <c r="I1012" s="472"/>
      <c r="J1012" s="470"/>
      <c r="K1012" s="470"/>
      <c r="L1012" s="470"/>
    </row>
    <row r="1013" spans="1:12" ht="12.75">
      <c r="A1013" s="470"/>
      <c r="B1013" s="470"/>
      <c r="C1013" s="470"/>
      <c r="D1013" s="470"/>
      <c r="E1013" s="470"/>
      <c r="F1013" s="470"/>
      <c r="G1013" s="471"/>
      <c r="H1013" s="471"/>
      <c r="I1013" s="472"/>
      <c r="J1013" s="470"/>
      <c r="K1013" s="470"/>
      <c r="L1013" s="470"/>
    </row>
    <row r="1014" spans="1:12" ht="12.75">
      <c r="A1014" s="470"/>
      <c r="B1014" s="470"/>
      <c r="C1014" s="470"/>
      <c r="D1014" s="470"/>
      <c r="E1014" s="470"/>
      <c r="F1014" s="470"/>
      <c r="G1014" s="471"/>
      <c r="H1014" s="471"/>
      <c r="I1014" s="472"/>
      <c r="J1014" s="470"/>
      <c r="K1014" s="470"/>
      <c r="L1014" s="470"/>
    </row>
    <row r="1015" spans="1:12" ht="12.75">
      <c r="A1015" s="470"/>
      <c r="B1015" s="470"/>
      <c r="C1015" s="470"/>
      <c r="D1015" s="470"/>
      <c r="E1015" s="470"/>
      <c r="F1015" s="470"/>
      <c r="G1015" s="470"/>
      <c r="H1015" s="470"/>
      <c r="I1015" s="472"/>
      <c r="J1015" s="470"/>
      <c r="K1015" s="470"/>
      <c r="L1015" s="470"/>
    </row>
    <row r="1016" spans="1:12" ht="12.75">
      <c r="A1016" s="470"/>
      <c r="B1016" s="470"/>
      <c r="C1016" s="470"/>
      <c r="D1016" s="470"/>
      <c r="E1016" s="470"/>
      <c r="F1016" s="470"/>
      <c r="G1016" s="470"/>
      <c r="H1016" s="470"/>
      <c r="I1016" s="472"/>
      <c r="J1016" s="470"/>
      <c r="K1016" s="470"/>
      <c r="L1016" s="470"/>
    </row>
    <row r="1017" spans="1:12" ht="12.75">
      <c r="A1017" s="470"/>
      <c r="B1017" s="470"/>
      <c r="C1017" s="470"/>
      <c r="D1017" s="470"/>
      <c r="E1017" s="470"/>
      <c r="F1017" s="470"/>
      <c r="G1017" s="471"/>
      <c r="H1017" s="471"/>
      <c r="I1017" s="472"/>
      <c r="J1017" s="470"/>
      <c r="K1017" s="470"/>
      <c r="L1017" s="470"/>
    </row>
    <row r="1018" spans="1:12" ht="12.75">
      <c r="A1018" s="470"/>
      <c r="B1018" s="470"/>
      <c r="C1018" s="470"/>
      <c r="D1018" s="470"/>
      <c r="E1018" s="470"/>
      <c r="F1018" s="470"/>
      <c r="G1018" s="471"/>
      <c r="H1018" s="471"/>
      <c r="I1018" s="472"/>
      <c r="J1018" s="470"/>
      <c r="K1018" s="470"/>
      <c r="L1018" s="470"/>
    </row>
    <row r="1019" spans="1:12" ht="12.75">
      <c r="A1019" s="470"/>
      <c r="B1019" s="470"/>
      <c r="C1019" s="470"/>
      <c r="D1019" s="470"/>
      <c r="E1019" s="470"/>
      <c r="F1019" s="470"/>
      <c r="G1019" s="471"/>
      <c r="H1019" s="471"/>
      <c r="I1019" s="472"/>
      <c r="J1019" s="470"/>
      <c r="K1019" s="470"/>
      <c r="L1019" s="470"/>
    </row>
    <row r="1020" spans="1:12" ht="12.75">
      <c r="A1020" s="470"/>
      <c r="B1020" s="470"/>
      <c r="C1020" s="470"/>
      <c r="D1020" s="470"/>
      <c r="E1020" s="470"/>
      <c r="F1020" s="470"/>
      <c r="G1020" s="471"/>
      <c r="H1020" s="471"/>
      <c r="I1020" s="472"/>
      <c r="J1020" s="470"/>
      <c r="K1020" s="470"/>
      <c r="L1020" s="470"/>
    </row>
    <row r="1021" spans="1:12" ht="12.75">
      <c r="A1021" s="470"/>
      <c r="B1021" s="470"/>
      <c r="C1021" s="470"/>
      <c r="D1021" s="470"/>
      <c r="E1021" s="470"/>
      <c r="F1021" s="470"/>
      <c r="G1021" s="471"/>
      <c r="H1021" s="471"/>
      <c r="I1021" s="472"/>
      <c r="J1021" s="470"/>
      <c r="K1021" s="470"/>
      <c r="L1021" s="470"/>
    </row>
    <row r="1022" spans="1:12" ht="12.75">
      <c r="A1022" s="470"/>
      <c r="B1022" s="470"/>
      <c r="C1022" s="470"/>
      <c r="D1022" s="470"/>
      <c r="E1022" s="470"/>
      <c r="F1022" s="470"/>
      <c r="G1022" s="471"/>
      <c r="H1022" s="471"/>
      <c r="I1022" s="472"/>
      <c r="J1022" s="470"/>
      <c r="K1022" s="470"/>
      <c r="L1022" s="470"/>
    </row>
    <row r="1023" spans="1:12" ht="12.75">
      <c r="A1023" s="470"/>
      <c r="B1023" s="470"/>
      <c r="C1023" s="470"/>
      <c r="D1023" s="470"/>
      <c r="E1023" s="470"/>
      <c r="F1023" s="470"/>
      <c r="G1023" s="471"/>
      <c r="H1023" s="471"/>
      <c r="I1023" s="472"/>
      <c r="J1023" s="470"/>
      <c r="K1023" s="470"/>
      <c r="L1023" s="470"/>
    </row>
    <row r="1024" spans="1:12" ht="12.75">
      <c r="A1024" s="470"/>
      <c r="B1024" s="470"/>
      <c r="C1024" s="470"/>
      <c r="D1024" s="470"/>
      <c r="E1024" s="470"/>
      <c r="F1024" s="470"/>
      <c r="G1024" s="471"/>
      <c r="H1024" s="471"/>
      <c r="I1024" s="472"/>
      <c r="J1024" s="470"/>
      <c r="K1024" s="470"/>
      <c r="L1024" s="470"/>
    </row>
    <row r="1025" spans="1:12" ht="12.75">
      <c r="A1025" s="470"/>
      <c r="B1025" s="470"/>
      <c r="C1025" s="470"/>
      <c r="D1025" s="470"/>
      <c r="E1025" s="470"/>
      <c r="F1025" s="470"/>
      <c r="G1025" s="471"/>
      <c r="H1025" s="471"/>
      <c r="I1025" s="472"/>
      <c r="J1025" s="470"/>
      <c r="K1025" s="470"/>
      <c r="L1025" s="470"/>
    </row>
    <row r="1026" spans="1:12" ht="12.75">
      <c r="A1026" s="470"/>
      <c r="B1026" s="470"/>
      <c r="C1026" s="470"/>
      <c r="D1026" s="470"/>
      <c r="E1026" s="470"/>
      <c r="F1026" s="470"/>
      <c r="G1026" s="471"/>
      <c r="H1026" s="471"/>
      <c r="I1026" s="472"/>
      <c r="J1026" s="470"/>
      <c r="K1026" s="470"/>
      <c r="L1026" s="470"/>
    </row>
    <row r="1027" spans="1:12" ht="12.75">
      <c r="A1027" s="470"/>
      <c r="B1027" s="470"/>
      <c r="C1027" s="470"/>
      <c r="D1027" s="470"/>
      <c r="E1027" s="470"/>
      <c r="F1027" s="470"/>
      <c r="G1027" s="471"/>
      <c r="H1027" s="471"/>
      <c r="I1027" s="472"/>
      <c r="J1027" s="470"/>
      <c r="K1027" s="470"/>
      <c r="L1027" s="470"/>
    </row>
    <row r="1028" spans="1:12" ht="12.75">
      <c r="A1028" s="470"/>
      <c r="B1028" s="470"/>
      <c r="C1028" s="470"/>
      <c r="D1028" s="470"/>
      <c r="E1028" s="470"/>
      <c r="F1028" s="470"/>
      <c r="G1028" s="471"/>
      <c r="H1028" s="471"/>
      <c r="I1028" s="472"/>
      <c r="J1028" s="470"/>
      <c r="K1028" s="470"/>
      <c r="L1028" s="470"/>
    </row>
    <row r="1029" spans="1:12" ht="12.75">
      <c r="A1029" s="470"/>
      <c r="B1029" s="470"/>
      <c r="C1029" s="470"/>
      <c r="D1029" s="470"/>
      <c r="E1029" s="470"/>
      <c r="F1029" s="470"/>
      <c r="G1029" s="471"/>
      <c r="H1029" s="471"/>
      <c r="I1029" s="472"/>
      <c r="J1029" s="470"/>
      <c r="K1029" s="470"/>
      <c r="L1029" s="470"/>
    </row>
    <row r="1030" spans="1:12" ht="12.75">
      <c r="A1030" s="470"/>
      <c r="B1030" s="470"/>
      <c r="C1030" s="470"/>
      <c r="D1030" s="470"/>
      <c r="E1030" s="470"/>
      <c r="F1030" s="470"/>
      <c r="G1030" s="471"/>
      <c r="H1030" s="470"/>
      <c r="I1030" s="472"/>
      <c r="J1030" s="470"/>
      <c r="K1030" s="470"/>
      <c r="L1030" s="470"/>
    </row>
    <row r="1031" spans="1:12" ht="12.75">
      <c r="A1031" s="470"/>
      <c r="B1031" s="470"/>
      <c r="C1031" s="470"/>
      <c r="D1031" s="470"/>
      <c r="E1031" s="470"/>
      <c r="F1031" s="470"/>
      <c r="G1031" s="471"/>
      <c r="H1031" s="471"/>
      <c r="I1031" s="472"/>
      <c r="J1031" s="470"/>
      <c r="K1031" s="470"/>
      <c r="L1031" s="470"/>
    </row>
    <row r="1032" spans="1:12" ht="12.75">
      <c r="A1032" s="470"/>
      <c r="B1032" s="470"/>
      <c r="C1032" s="470"/>
      <c r="D1032" s="470"/>
      <c r="E1032" s="470"/>
      <c r="F1032" s="470"/>
      <c r="G1032" s="471"/>
      <c r="H1032" s="470"/>
      <c r="I1032" s="472"/>
      <c r="J1032" s="470"/>
      <c r="K1032" s="470"/>
      <c r="L1032" s="470"/>
    </row>
    <row r="1033" spans="1:12" ht="12.75">
      <c r="A1033" s="470"/>
      <c r="B1033" s="470"/>
      <c r="C1033" s="470"/>
      <c r="D1033" s="470"/>
      <c r="E1033" s="470"/>
      <c r="F1033" s="470"/>
      <c r="G1033" s="471"/>
      <c r="H1033" s="471"/>
      <c r="I1033" s="472"/>
      <c r="J1033" s="470"/>
      <c r="K1033" s="470"/>
      <c r="L1033" s="470"/>
    </row>
    <row r="1034" spans="1:12" ht="12.75">
      <c r="A1034" s="470"/>
      <c r="B1034" s="470"/>
      <c r="C1034" s="470"/>
      <c r="D1034" s="470"/>
      <c r="E1034" s="470"/>
      <c r="F1034" s="470"/>
      <c r="G1034" s="471"/>
      <c r="H1034" s="471"/>
      <c r="I1034" s="472"/>
      <c r="J1034" s="470"/>
      <c r="K1034" s="470"/>
      <c r="L1034" s="470"/>
    </row>
    <row r="1035" spans="1:12" ht="12.75">
      <c r="A1035" s="470"/>
      <c r="B1035" s="470"/>
      <c r="C1035" s="470"/>
      <c r="D1035" s="470"/>
      <c r="E1035" s="470"/>
      <c r="F1035" s="470"/>
      <c r="G1035" s="471"/>
      <c r="H1035" s="471"/>
      <c r="I1035" s="472"/>
      <c r="J1035" s="470"/>
      <c r="K1035" s="470"/>
      <c r="L1035" s="470"/>
    </row>
    <row r="1036" spans="1:12" ht="12.75">
      <c r="A1036" s="470"/>
      <c r="B1036" s="470"/>
      <c r="C1036" s="470"/>
      <c r="D1036" s="470"/>
      <c r="E1036" s="470"/>
      <c r="F1036" s="470"/>
      <c r="G1036" s="471"/>
      <c r="H1036" s="471"/>
      <c r="I1036" s="472"/>
      <c r="J1036" s="470"/>
      <c r="K1036" s="470"/>
      <c r="L1036" s="470"/>
    </row>
    <row r="1037" spans="1:12" ht="12.75">
      <c r="A1037" s="470"/>
      <c r="B1037" s="470"/>
      <c r="C1037" s="470"/>
      <c r="D1037" s="470"/>
      <c r="E1037" s="470"/>
      <c r="F1037" s="470"/>
      <c r="G1037" s="471"/>
      <c r="H1037" s="471"/>
      <c r="I1037" s="472"/>
      <c r="J1037" s="470"/>
      <c r="K1037" s="470"/>
      <c r="L1037" s="470"/>
    </row>
    <row r="1038" spans="1:12" ht="12.75">
      <c r="A1038" s="470"/>
      <c r="B1038" s="470"/>
      <c r="C1038" s="470"/>
      <c r="D1038" s="470"/>
      <c r="E1038" s="470"/>
      <c r="F1038" s="470"/>
      <c r="G1038" s="471"/>
      <c r="H1038" s="471"/>
      <c r="I1038" s="472"/>
      <c r="J1038" s="470"/>
      <c r="K1038" s="470"/>
      <c r="L1038" s="470"/>
    </row>
    <row r="1039" spans="1:12" ht="12.75">
      <c r="A1039" s="470"/>
      <c r="B1039" s="470"/>
      <c r="C1039" s="470"/>
      <c r="D1039" s="470"/>
      <c r="E1039" s="470"/>
      <c r="F1039" s="470"/>
      <c r="G1039" s="471"/>
      <c r="H1039" s="471"/>
      <c r="I1039" s="472"/>
      <c r="J1039" s="470"/>
      <c r="K1039" s="470"/>
      <c r="L1039" s="470"/>
    </row>
    <row r="1040" spans="1:12" ht="12.75">
      <c r="A1040" s="470"/>
      <c r="B1040" s="470"/>
      <c r="C1040" s="470"/>
      <c r="D1040" s="470"/>
      <c r="E1040" s="470"/>
      <c r="F1040" s="470"/>
      <c r="G1040" s="471"/>
      <c r="H1040" s="471"/>
      <c r="I1040" s="472"/>
      <c r="J1040" s="470"/>
      <c r="K1040" s="470"/>
      <c r="L1040" s="470"/>
    </row>
    <row r="1041" spans="1:12" ht="12.75">
      <c r="A1041" s="470"/>
      <c r="B1041" s="470"/>
      <c r="C1041" s="470"/>
      <c r="D1041" s="470"/>
      <c r="E1041" s="470"/>
      <c r="F1041" s="470"/>
      <c r="G1041" s="471"/>
      <c r="H1041" s="471"/>
      <c r="I1041" s="472"/>
      <c r="J1041" s="470"/>
      <c r="K1041" s="470"/>
      <c r="L1041" s="470"/>
    </row>
    <row r="1042" spans="1:12" ht="12.75">
      <c r="A1042" s="470"/>
      <c r="B1042" s="470"/>
      <c r="C1042" s="470"/>
      <c r="D1042" s="470"/>
      <c r="E1042" s="470"/>
      <c r="F1042" s="470"/>
      <c r="G1042" s="471"/>
      <c r="H1042" s="470"/>
      <c r="I1042" s="472"/>
      <c r="J1042" s="470"/>
      <c r="K1042" s="470"/>
      <c r="L1042" s="470"/>
    </row>
    <row r="1043" spans="1:12" ht="12.75">
      <c r="A1043" s="470"/>
      <c r="B1043" s="470"/>
      <c r="C1043" s="470"/>
      <c r="D1043" s="470"/>
      <c r="E1043" s="470"/>
      <c r="F1043" s="470"/>
      <c r="G1043" s="471"/>
      <c r="H1043" s="471"/>
      <c r="I1043" s="472"/>
      <c r="J1043" s="470"/>
      <c r="K1043" s="470"/>
      <c r="L1043" s="470"/>
    </row>
    <row r="1044" spans="1:12" ht="12.75">
      <c r="A1044" s="470"/>
      <c r="B1044" s="470"/>
      <c r="C1044" s="470"/>
      <c r="D1044" s="470"/>
      <c r="E1044" s="470"/>
      <c r="F1044" s="470"/>
      <c r="G1044" s="471"/>
      <c r="H1044" s="471"/>
      <c r="I1044" s="472"/>
      <c r="J1044" s="470"/>
      <c r="K1044" s="470"/>
      <c r="L1044" s="470"/>
    </row>
    <row r="1045" spans="1:12" ht="12.75">
      <c r="A1045" s="470"/>
      <c r="B1045" s="470"/>
      <c r="C1045" s="470"/>
      <c r="D1045" s="470"/>
      <c r="E1045" s="470"/>
      <c r="F1045" s="470"/>
      <c r="G1045" s="471"/>
      <c r="H1045" s="471"/>
      <c r="I1045" s="472"/>
      <c r="J1045" s="470"/>
      <c r="K1045" s="470"/>
      <c r="L1045" s="470"/>
    </row>
    <row r="1046" spans="1:12" ht="12.75">
      <c r="A1046" s="470"/>
      <c r="B1046" s="470"/>
      <c r="C1046" s="470"/>
      <c r="D1046" s="470"/>
      <c r="E1046" s="470"/>
      <c r="F1046" s="470"/>
      <c r="G1046" s="471"/>
      <c r="H1046" s="471"/>
      <c r="I1046" s="472"/>
      <c r="J1046" s="470"/>
      <c r="K1046" s="470"/>
      <c r="L1046" s="470"/>
    </row>
    <row r="1047" spans="1:12" ht="12.75">
      <c r="A1047" s="470"/>
      <c r="B1047" s="470"/>
      <c r="C1047" s="470"/>
      <c r="D1047" s="470"/>
      <c r="E1047" s="470"/>
      <c r="F1047" s="470"/>
      <c r="G1047" s="471"/>
      <c r="H1047" s="471"/>
      <c r="I1047" s="472"/>
      <c r="J1047" s="470"/>
      <c r="K1047" s="470"/>
      <c r="L1047" s="470"/>
    </row>
    <row r="1048" spans="1:12" ht="12.75">
      <c r="A1048" s="470"/>
      <c r="B1048" s="470"/>
      <c r="C1048" s="470"/>
      <c r="D1048" s="470"/>
      <c r="E1048" s="470"/>
      <c r="F1048" s="470"/>
      <c r="G1048" s="471"/>
      <c r="H1048" s="471"/>
      <c r="I1048" s="472"/>
      <c r="J1048" s="470"/>
      <c r="K1048" s="470"/>
      <c r="L1048" s="470"/>
    </row>
    <row r="1049" spans="1:12" ht="12.75">
      <c r="A1049" s="470"/>
      <c r="B1049" s="470"/>
      <c r="C1049" s="470"/>
      <c r="D1049" s="470"/>
      <c r="E1049" s="470"/>
      <c r="F1049" s="470"/>
      <c r="G1049" s="471"/>
      <c r="H1049" s="471"/>
      <c r="I1049" s="472"/>
      <c r="J1049" s="470"/>
      <c r="K1049" s="470"/>
      <c r="L1049" s="470"/>
    </row>
    <row r="1050" spans="1:12" ht="12.75">
      <c r="A1050" s="470"/>
      <c r="B1050" s="470"/>
      <c r="C1050" s="470"/>
      <c r="D1050" s="470"/>
      <c r="E1050" s="470"/>
      <c r="F1050" s="470"/>
      <c r="G1050" s="471"/>
      <c r="H1050" s="471"/>
      <c r="I1050" s="472"/>
      <c r="J1050" s="470"/>
      <c r="K1050" s="470"/>
      <c r="L1050" s="470"/>
    </row>
    <row r="1051" spans="1:12" ht="12.75">
      <c r="A1051" s="470"/>
      <c r="B1051" s="470"/>
      <c r="C1051" s="470"/>
      <c r="D1051" s="470"/>
      <c r="E1051" s="470"/>
      <c r="F1051" s="470"/>
      <c r="G1051" s="470"/>
      <c r="H1051" s="470"/>
      <c r="I1051" s="472"/>
      <c r="J1051" s="470"/>
      <c r="K1051" s="470"/>
      <c r="L1051" s="470"/>
    </row>
    <row r="1052" spans="1:12" ht="12.75">
      <c r="A1052" s="470"/>
      <c r="B1052" s="470"/>
      <c r="C1052" s="470"/>
      <c r="D1052" s="470"/>
      <c r="E1052" s="470"/>
      <c r="F1052" s="470"/>
      <c r="G1052" s="470"/>
      <c r="H1052" s="470"/>
      <c r="I1052" s="472"/>
      <c r="J1052" s="470"/>
      <c r="K1052" s="470"/>
      <c r="L1052" s="470"/>
    </row>
    <row r="1053" spans="1:12" ht="12.75">
      <c r="A1053" s="470"/>
      <c r="B1053" s="470"/>
      <c r="C1053" s="470"/>
      <c r="D1053" s="470"/>
      <c r="E1053" s="470"/>
      <c r="F1053" s="470"/>
      <c r="G1053" s="471"/>
      <c r="H1053" s="471"/>
      <c r="I1053" s="472"/>
      <c r="J1053" s="470"/>
      <c r="K1053" s="470"/>
      <c r="L1053" s="470"/>
    </row>
    <row r="1054" spans="1:12" ht="12.75">
      <c r="A1054" s="470"/>
      <c r="B1054" s="470"/>
      <c r="C1054" s="470"/>
      <c r="D1054" s="470"/>
      <c r="E1054" s="470"/>
      <c r="F1054" s="470"/>
      <c r="G1054" s="471"/>
      <c r="H1054" s="471"/>
      <c r="I1054" s="472"/>
      <c r="J1054" s="470"/>
      <c r="K1054" s="470"/>
      <c r="L1054" s="470"/>
    </row>
    <row r="1055" spans="1:12" ht="12.75">
      <c r="A1055" s="470"/>
      <c r="B1055" s="470"/>
      <c r="C1055" s="470"/>
      <c r="D1055" s="470"/>
      <c r="E1055" s="470"/>
      <c r="F1055" s="470"/>
      <c r="G1055" s="471"/>
      <c r="H1055" s="471"/>
      <c r="I1055" s="472"/>
      <c r="J1055" s="470"/>
      <c r="K1055" s="470"/>
      <c r="L1055" s="470"/>
    </row>
    <row r="1056" spans="1:12" ht="12.75">
      <c r="A1056" s="470"/>
      <c r="B1056" s="470"/>
      <c r="C1056" s="470"/>
      <c r="D1056" s="470"/>
      <c r="E1056" s="470"/>
      <c r="F1056" s="470"/>
      <c r="G1056" s="470"/>
      <c r="H1056" s="470"/>
      <c r="I1056" s="472"/>
      <c r="J1056" s="470"/>
      <c r="K1056" s="470"/>
      <c r="L1056" s="470"/>
    </row>
    <row r="1057" spans="1:12" ht="12.75">
      <c r="A1057" s="470"/>
      <c r="B1057" s="470"/>
      <c r="C1057" s="470"/>
      <c r="D1057" s="470"/>
      <c r="E1057" s="470"/>
      <c r="F1057" s="470"/>
      <c r="G1057" s="471"/>
      <c r="H1057" s="471"/>
      <c r="I1057" s="472"/>
      <c r="J1057" s="470"/>
      <c r="K1057" s="470"/>
      <c r="L1057" s="470"/>
    </row>
    <row r="1058" spans="1:12" ht="12.75">
      <c r="A1058" s="470"/>
      <c r="B1058" s="470"/>
      <c r="C1058" s="470"/>
      <c r="D1058" s="470"/>
      <c r="E1058" s="470"/>
      <c r="F1058" s="470"/>
      <c r="G1058" s="471"/>
      <c r="H1058" s="471"/>
      <c r="I1058" s="472"/>
      <c r="J1058" s="470"/>
      <c r="K1058" s="470"/>
      <c r="L1058" s="470"/>
    </row>
    <row r="1059" spans="1:12" ht="12.75">
      <c r="A1059" s="470"/>
      <c r="B1059" s="470"/>
      <c r="C1059" s="470"/>
      <c r="D1059" s="470"/>
      <c r="E1059" s="470"/>
      <c r="F1059" s="470"/>
      <c r="G1059" s="471"/>
      <c r="H1059" s="471"/>
      <c r="I1059" s="472"/>
      <c r="J1059" s="470"/>
      <c r="K1059" s="470"/>
      <c r="L1059" s="470"/>
    </row>
    <row r="1060" spans="1:12" ht="12.75">
      <c r="A1060" s="470"/>
      <c r="B1060" s="470"/>
      <c r="C1060" s="470"/>
      <c r="D1060" s="470"/>
      <c r="E1060" s="470"/>
      <c r="F1060" s="470"/>
      <c r="G1060" s="471"/>
      <c r="H1060" s="471"/>
      <c r="I1060" s="472"/>
      <c r="J1060" s="470"/>
      <c r="K1060" s="470"/>
      <c r="L1060" s="470"/>
    </row>
    <row r="1061" spans="1:12" ht="12.75">
      <c r="A1061" s="470"/>
      <c r="B1061" s="470"/>
      <c r="C1061" s="470"/>
      <c r="D1061" s="470"/>
      <c r="E1061" s="470"/>
      <c r="F1061" s="470"/>
      <c r="G1061" s="471"/>
      <c r="H1061" s="470"/>
      <c r="I1061" s="472"/>
      <c r="J1061" s="470"/>
      <c r="K1061" s="470"/>
      <c r="L1061" s="470"/>
    </row>
    <row r="1062" spans="1:12" ht="12.75">
      <c r="A1062" s="470"/>
      <c r="B1062" s="470"/>
      <c r="C1062" s="470"/>
      <c r="D1062" s="470"/>
      <c r="E1062" s="470"/>
      <c r="F1062" s="470"/>
      <c r="G1062" s="471"/>
      <c r="H1062" s="471"/>
      <c r="I1062" s="472"/>
      <c r="J1062" s="470"/>
      <c r="K1062" s="470"/>
      <c r="L1062" s="470"/>
    </row>
    <row r="1063" spans="1:12" ht="12.75">
      <c r="A1063" s="470"/>
      <c r="B1063" s="470"/>
      <c r="C1063" s="470"/>
      <c r="D1063" s="470"/>
      <c r="E1063" s="470"/>
      <c r="F1063" s="470"/>
      <c r="G1063" s="471"/>
      <c r="H1063" s="470"/>
      <c r="I1063" s="472"/>
      <c r="J1063" s="470"/>
      <c r="K1063" s="470"/>
      <c r="L1063" s="470"/>
    </row>
    <row r="1064" spans="1:12" ht="12.75">
      <c r="A1064" s="470"/>
      <c r="B1064" s="470"/>
      <c r="C1064" s="470"/>
      <c r="D1064" s="470"/>
      <c r="E1064" s="470"/>
      <c r="F1064" s="470"/>
      <c r="G1064" s="470"/>
      <c r="H1064" s="470"/>
      <c r="I1064" s="472"/>
      <c r="J1064" s="470"/>
      <c r="K1064" s="470"/>
      <c r="L1064" s="470"/>
    </row>
    <row r="1065" spans="1:12" ht="12.75">
      <c r="A1065" s="470"/>
      <c r="B1065" s="470"/>
      <c r="C1065" s="470"/>
      <c r="D1065" s="470"/>
      <c r="E1065" s="470"/>
      <c r="F1065" s="470"/>
      <c r="G1065" s="470"/>
      <c r="H1065" s="470"/>
      <c r="I1065" s="472"/>
      <c r="J1065" s="470"/>
      <c r="K1065" s="470"/>
      <c r="L1065" s="470"/>
    </row>
    <row r="1066" spans="1:12" ht="12.75">
      <c r="A1066" s="470"/>
      <c r="B1066" s="470"/>
      <c r="C1066" s="470"/>
      <c r="D1066" s="470"/>
      <c r="E1066" s="470"/>
      <c r="F1066" s="470"/>
      <c r="G1066" s="471"/>
      <c r="H1066" s="471"/>
      <c r="I1066" s="472"/>
      <c r="J1066" s="470"/>
      <c r="K1066" s="470"/>
      <c r="L1066" s="470"/>
    </row>
    <row r="1067" spans="1:12" ht="12.75">
      <c r="A1067" s="470"/>
      <c r="B1067" s="470"/>
      <c r="C1067" s="470"/>
      <c r="D1067" s="470"/>
      <c r="E1067" s="470"/>
      <c r="F1067" s="470"/>
      <c r="G1067" s="471"/>
      <c r="H1067" s="471"/>
      <c r="I1067" s="472"/>
      <c r="J1067" s="470"/>
      <c r="K1067" s="470"/>
      <c r="L1067" s="470"/>
    </row>
    <row r="1068" spans="1:12" ht="12.75">
      <c r="A1068" s="470"/>
      <c r="B1068" s="470"/>
      <c r="C1068" s="470"/>
      <c r="D1068" s="470"/>
      <c r="E1068" s="470"/>
      <c r="F1068" s="470"/>
      <c r="G1068" s="471"/>
      <c r="H1068" s="471"/>
      <c r="I1068" s="472"/>
      <c r="J1068" s="470"/>
      <c r="K1068" s="470"/>
      <c r="L1068" s="470"/>
    </row>
    <row r="1069" spans="1:12" ht="12.75">
      <c r="A1069" s="470"/>
      <c r="B1069" s="470"/>
      <c r="C1069" s="470"/>
      <c r="D1069" s="470"/>
      <c r="E1069" s="470"/>
      <c r="F1069" s="470"/>
      <c r="G1069" s="471"/>
      <c r="H1069" s="471"/>
      <c r="I1069" s="472"/>
      <c r="J1069" s="470"/>
      <c r="K1069" s="470"/>
      <c r="L1069" s="470"/>
    </row>
    <row r="1070" spans="1:12" ht="12.75">
      <c r="A1070" s="470"/>
      <c r="B1070" s="470"/>
      <c r="C1070" s="470"/>
      <c r="D1070" s="470"/>
      <c r="E1070" s="470"/>
      <c r="F1070" s="470"/>
      <c r="G1070" s="471"/>
      <c r="H1070" s="471"/>
      <c r="I1070" s="472"/>
      <c r="J1070" s="470"/>
      <c r="K1070" s="470"/>
      <c r="L1070" s="470"/>
    </row>
    <row r="1071" spans="1:12" ht="12.75">
      <c r="A1071" s="470"/>
      <c r="B1071" s="470"/>
      <c r="C1071" s="470"/>
      <c r="D1071" s="470"/>
      <c r="E1071" s="470"/>
      <c r="F1071" s="470"/>
      <c r="G1071" s="471"/>
      <c r="H1071" s="471"/>
      <c r="I1071" s="472"/>
      <c r="J1071" s="470"/>
      <c r="K1071" s="470"/>
      <c r="L1071" s="470"/>
    </row>
    <row r="1072" spans="1:12" ht="12.75">
      <c r="A1072" s="470"/>
      <c r="B1072" s="470"/>
      <c r="C1072" s="470"/>
      <c r="D1072" s="470"/>
      <c r="E1072" s="470"/>
      <c r="F1072" s="470"/>
      <c r="G1072" s="471"/>
      <c r="H1072" s="471"/>
      <c r="I1072" s="472"/>
      <c r="J1072" s="470"/>
      <c r="K1072" s="470"/>
      <c r="L1072" s="470"/>
    </row>
    <row r="1073" spans="1:12" ht="12.75">
      <c r="A1073" s="470"/>
      <c r="B1073" s="470"/>
      <c r="C1073" s="470"/>
      <c r="D1073" s="470"/>
      <c r="E1073" s="470"/>
      <c r="F1073" s="470"/>
      <c r="G1073" s="471"/>
      <c r="H1073" s="471"/>
      <c r="I1073" s="472"/>
      <c r="J1073" s="470"/>
      <c r="K1073" s="470"/>
      <c r="L1073" s="470"/>
    </row>
    <row r="1074" spans="1:12" ht="12.75">
      <c r="A1074" s="470"/>
      <c r="B1074" s="470"/>
      <c r="C1074" s="470"/>
      <c r="D1074" s="470"/>
      <c r="E1074" s="470"/>
      <c r="F1074" s="470"/>
      <c r="G1074" s="471"/>
      <c r="H1074" s="471"/>
      <c r="I1074" s="472"/>
      <c r="J1074" s="470"/>
      <c r="K1074" s="470"/>
      <c r="L1074" s="470"/>
    </row>
    <row r="1075" spans="1:12" ht="12.75">
      <c r="A1075" s="470"/>
      <c r="B1075" s="470"/>
      <c r="C1075" s="470"/>
      <c r="D1075" s="470"/>
      <c r="E1075" s="470"/>
      <c r="F1075" s="470"/>
      <c r="G1075" s="471"/>
      <c r="H1075" s="471"/>
      <c r="I1075" s="472"/>
      <c r="J1075" s="470"/>
      <c r="K1075" s="470"/>
      <c r="L1075" s="470"/>
    </row>
    <row r="1076" spans="1:12" ht="12.75">
      <c r="A1076" s="470"/>
      <c r="B1076" s="470"/>
      <c r="C1076" s="470"/>
      <c r="D1076" s="470"/>
      <c r="E1076" s="470"/>
      <c r="F1076" s="470"/>
      <c r="G1076" s="471"/>
      <c r="H1076" s="471"/>
      <c r="I1076" s="472"/>
      <c r="J1076" s="470"/>
      <c r="K1076" s="470"/>
      <c r="L1076" s="470"/>
    </row>
    <row r="1077" spans="1:12" ht="12.75">
      <c r="A1077" s="470"/>
      <c r="B1077" s="470"/>
      <c r="C1077" s="470"/>
      <c r="D1077" s="470"/>
      <c r="E1077" s="470"/>
      <c r="F1077" s="470"/>
      <c r="G1077" s="471"/>
      <c r="H1077" s="471"/>
      <c r="I1077" s="472"/>
      <c r="J1077" s="470"/>
      <c r="K1077" s="470"/>
      <c r="L1077" s="470"/>
    </row>
    <row r="1078" spans="1:12" ht="12.75">
      <c r="A1078" s="470"/>
      <c r="B1078" s="470"/>
      <c r="C1078" s="470"/>
      <c r="D1078" s="470"/>
      <c r="E1078" s="470"/>
      <c r="F1078" s="470"/>
      <c r="G1078" s="471"/>
      <c r="H1078" s="471"/>
      <c r="I1078" s="472"/>
      <c r="J1078" s="470"/>
      <c r="K1078" s="470"/>
      <c r="L1078" s="470"/>
    </row>
    <row r="1079" spans="1:12" ht="12.75">
      <c r="A1079" s="470"/>
      <c r="B1079" s="470"/>
      <c r="C1079" s="470"/>
      <c r="D1079" s="470"/>
      <c r="E1079" s="470"/>
      <c r="F1079" s="470"/>
      <c r="G1079" s="471"/>
      <c r="H1079" s="471"/>
      <c r="I1079" s="472"/>
      <c r="J1079" s="470"/>
      <c r="K1079" s="470"/>
      <c r="L1079" s="470"/>
    </row>
    <row r="1080" spans="1:12" ht="12.75">
      <c r="A1080" s="470"/>
      <c r="B1080" s="470"/>
      <c r="C1080" s="470"/>
      <c r="D1080" s="470"/>
      <c r="E1080" s="470"/>
      <c r="F1080" s="470"/>
      <c r="G1080" s="471"/>
      <c r="H1080" s="471"/>
      <c r="I1080" s="472"/>
      <c r="J1080" s="470"/>
      <c r="K1080" s="470"/>
      <c r="L1080" s="470"/>
    </row>
    <row r="1081" spans="1:12" ht="12.75">
      <c r="A1081" s="470"/>
      <c r="B1081" s="470"/>
      <c r="C1081" s="470"/>
      <c r="D1081" s="470"/>
      <c r="E1081" s="470"/>
      <c r="F1081" s="470"/>
      <c r="G1081" s="471"/>
      <c r="H1081" s="470"/>
      <c r="I1081" s="472"/>
      <c r="J1081" s="470"/>
      <c r="K1081" s="470"/>
      <c r="L1081" s="470"/>
    </row>
    <row r="1082" spans="1:12" ht="12.75">
      <c r="A1082" s="470"/>
      <c r="B1082" s="470"/>
      <c r="C1082" s="470"/>
      <c r="D1082" s="470"/>
      <c r="E1082" s="470"/>
      <c r="F1082" s="470"/>
      <c r="G1082" s="471"/>
      <c r="H1082" s="471"/>
      <c r="I1082" s="472"/>
      <c r="J1082" s="470"/>
      <c r="K1082" s="470"/>
      <c r="L1082" s="470"/>
    </row>
    <row r="1083" spans="1:12" ht="12.75">
      <c r="A1083" s="470"/>
      <c r="B1083" s="470"/>
      <c r="C1083" s="470"/>
      <c r="D1083" s="470"/>
      <c r="E1083" s="470"/>
      <c r="F1083" s="470"/>
      <c r="G1083" s="471"/>
      <c r="H1083" s="471"/>
      <c r="I1083" s="472"/>
      <c r="J1083" s="470"/>
      <c r="K1083" s="470"/>
      <c r="L1083" s="470"/>
    </row>
    <row r="1084" spans="1:12" ht="12.75">
      <c r="A1084" s="470"/>
      <c r="B1084" s="470"/>
      <c r="C1084" s="470"/>
      <c r="D1084" s="470"/>
      <c r="E1084" s="470"/>
      <c r="F1084" s="470"/>
      <c r="G1084" s="471"/>
      <c r="H1084" s="471"/>
      <c r="I1084" s="472"/>
      <c r="J1084" s="470"/>
      <c r="K1084" s="470"/>
      <c r="L1084" s="470"/>
    </row>
    <row r="1085" spans="1:12" ht="12.75">
      <c r="A1085" s="470"/>
      <c r="B1085" s="470"/>
      <c r="C1085" s="470"/>
      <c r="D1085" s="470"/>
      <c r="E1085" s="470"/>
      <c r="F1085" s="470"/>
      <c r="G1085" s="471"/>
      <c r="H1085" s="471"/>
      <c r="I1085" s="472"/>
      <c r="J1085" s="470"/>
      <c r="K1085" s="470"/>
      <c r="L1085" s="470"/>
    </row>
    <row r="1086" spans="1:12" ht="12.75">
      <c r="A1086" s="470"/>
      <c r="B1086" s="470"/>
      <c r="C1086" s="470"/>
      <c r="D1086" s="470"/>
      <c r="E1086" s="470"/>
      <c r="F1086" s="470"/>
      <c r="G1086" s="470"/>
      <c r="H1086" s="471"/>
      <c r="I1086" s="472"/>
      <c r="J1086" s="470"/>
      <c r="K1086" s="470"/>
      <c r="L1086" s="470"/>
    </row>
    <row r="1087" spans="1:12" ht="12.75">
      <c r="A1087" s="470"/>
      <c r="B1087" s="470"/>
      <c r="C1087" s="470"/>
      <c r="D1087" s="470"/>
      <c r="E1087" s="470"/>
      <c r="F1087" s="470"/>
      <c r="G1087" s="471"/>
      <c r="H1087" s="471"/>
      <c r="I1087" s="472"/>
      <c r="J1087" s="470"/>
      <c r="K1087" s="470"/>
      <c r="L1087" s="470"/>
    </row>
    <row r="1088" spans="1:12" ht="12.75">
      <c r="A1088" s="470"/>
      <c r="B1088" s="470"/>
      <c r="C1088" s="470"/>
      <c r="D1088" s="470"/>
      <c r="E1088" s="470"/>
      <c r="F1088" s="470"/>
      <c r="G1088" s="471"/>
      <c r="H1088" s="470"/>
      <c r="I1088" s="472"/>
      <c r="J1088" s="470"/>
      <c r="K1088" s="470"/>
      <c r="L1088" s="470"/>
    </row>
    <row r="1089" spans="1:12" ht="12.75">
      <c r="A1089" s="470"/>
      <c r="B1089" s="470"/>
      <c r="C1089" s="470"/>
      <c r="D1089" s="470"/>
      <c r="E1089" s="470"/>
      <c r="F1089" s="470"/>
      <c r="G1089" s="470"/>
      <c r="H1089" s="470"/>
      <c r="I1089" s="472"/>
      <c r="J1089" s="470"/>
      <c r="K1089" s="470"/>
      <c r="L1089" s="470"/>
    </row>
    <row r="1090" spans="1:12" ht="12.75">
      <c r="A1090" s="470"/>
      <c r="B1090" s="470"/>
      <c r="C1090" s="470"/>
      <c r="D1090" s="470"/>
      <c r="E1090" s="470"/>
      <c r="F1090" s="470"/>
      <c r="G1090" s="471"/>
      <c r="H1090" s="470"/>
      <c r="I1090" s="472"/>
      <c r="J1090" s="470"/>
      <c r="K1090" s="470"/>
      <c r="L1090" s="470"/>
    </row>
    <row r="1091" spans="1:12" ht="12.75">
      <c r="A1091" s="470"/>
      <c r="B1091" s="470"/>
      <c r="C1091" s="470"/>
      <c r="D1091" s="470"/>
      <c r="E1091" s="470"/>
      <c r="F1091" s="470"/>
      <c r="G1091" s="470"/>
      <c r="H1091" s="470"/>
      <c r="I1091" s="472"/>
      <c r="J1091" s="470"/>
      <c r="K1091" s="470"/>
      <c r="L1091" s="470"/>
    </row>
  </sheetData>
  <sheetProtection/>
  <autoFilter ref="A1:G229"/>
  <printOptions/>
  <pageMargins left="0.787401575" right="0.787401575" top="0.984251969" bottom="0.984251969" header="0.5" footer="0.5"/>
  <pageSetup fitToHeight="6" fitToWidth="1" horizontalDpi="300" verticalDpi="3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I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7.00390625" style="0" bestFit="1" customWidth="1"/>
    <col min="2" max="2" width="8.00390625" style="0" bestFit="1" customWidth="1"/>
    <col min="3" max="3" width="19.57421875" style="0" bestFit="1" customWidth="1"/>
    <col min="4" max="4" width="17.7109375" style="0" bestFit="1" customWidth="1"/>
    <col min="5" max="5" width="13.421875" style="0" bestFit="1" customWidth="1"/>
    <col min="6" max="6" width="31.00390625" style="0" bestFit="1" customWidth="1"/>
    <col min="7" max="7" width="12.421875" style="0" bestFit="1" customWidth="1"/>
    <col min="8" max="8" width="13.57421875" style="0" bestFit="1" customWidth="1"/>
  </cols>
  <sheetData>
    <row r="1" spans="1:9" ht="15" customHeight="1">
      <c r="A1" s="466" t="s">
        <v>21</v>
      </c>
      <c r="B1" s="466" t="s">
        <v>826</v>
      </c>
      <c r="C1" t="s">
        <v>827</v>
      </c>
      <c r="D1" t="s">
        <v>828</v>
      </c>
      <c r="E1" t="s">
        <v>829</v>
      </c>
      <c r="F1" t="s">
        <v>830</v>
      </c>
      <c r="G1" t="s">
        <v>831</v>
      </c>
      <c r="H1" t="s">
        <v>832</v>
      </c>
      <c r="I1">
        <f>COUNTA(A2:A958)</f>
        <v>10</v>
      </c>
    </row>
    <row r="2" spans="1:8" ht="15" customHeight="1">
      <c r="A2" t="s">
        <v>852</v>
      </c>
      <c r="B2">
        <v>180</v>
      </c>
      <c r="C2" t="s">
        <v>307</v>
      </c>
      <c r="D2" t="s">
        <v>202</v>
      </c>
      <c r="E2" t="s">
        <v>853</v>
      </c>
      <c r="F2" t="s">
        <v>854</v>
      </c>
      <c r="H2" t="s">
        <v>855</v>
      </c>
    </row>
    <row r="3" spans="1:8" ht="15" customHeight="1">
      <c r="A3" t="s">
        <v>884</v>
      </c>
      <c r="B3">
        <v>150</v>
      </c>
      <c r="C3" t="s">
        <v>406</v>
      </c>
      <c r="D3" t="s">
        <v>182</v>
      </c>
      <c r="E3" t="s">
        <v>885</v>
      </c>
      <c r="F3" t="s">
        <v>854</v>
      </c>
      <c r="H3" t="s">
        <v>855</v>
      </c>
    </row>
    <row r="4" spans="1:8" ht="15" customHeight="1">
      <c r="A4" t="s">
        <v>840</v>
      </c>
      <c r="B4">
        <v>250</v>
      </c>
      <c r="C4" t="s">
        <v>841</v>
      </c>
      <c r="D4" t="s">
        <v>842</v>
      </c>
      <c r="E4" t="s">
        <v>843</v>
      </c>
      <c r="F4" t="s">
        <v>844</v>
      </c>
      <c r="H4" t="s">
        <v>845</v>
      </c>
    </row>
    <row r="5" spans="1:8" ht="15" customHeight="1">
      <c r="A5" t="s">
        <v>880</v>
      </c>
      <c r="B5">
        <v>242</v>
      </c>
      <c r="C5" t="s">
        <v>330</v>
      </c>
      <c r="D5" t="s">
        <v>148</v>
      </c>
      <c r="E5" t="s">
        <v>881</v>
      </c>
      <c r="F5" t="s">
        <v>882</v>
      </c>
      <c r="H5" t="s">
        <v>883</v>
      </c>
    </row>
    <row r="6" spans="1:8" ht="15" customHeight="1">
      <c r="A6" t="s">
        <v>846</v>
      </c>
      <c r="B6">
        <v>257</v>
      </c>
      <c r="C6" t="s">
        <v>847</v>
      </c>
      <c r="D6" t="s">
        <v>848</v>
      </c>
      <c r="E6" t="s">
        <v>849</v>
      </c>
      <c r="F6" t="s">
        <v>850</v>
      </c>
      <c r="H6" t="s">
        <v>851</v>
      </c>
    </row>
    <row r="7" spans="1:8" ht="15" customHeight="1">
      <c r="A7" t="s">
        <v>235</v>
      </c>
      <c r="B7">
        <v>52</v>
      </c>
      <c r="C7" t="s">
        <v>236</v>
      </c>
      <c r="D7" t="s">
        <v>856</v>
      </c>
      <c r="E7" t="s">
        <v>857</v>
      </c>
      <c r="F7" t="s">
        <v>858</v>
      </c>
      <c r="H7" t="s">
        <v>859</v>
      </c>
    </row>
    <row r="8" spans="1:8" ht="15" customHeight="1">
      <c r="A8" t="s">
        <v>866</v>
      </c>
      <c r="B8">
        <v>179</v>
      </c>
      <c r="C8" t="s">
        <v>248</v>
      </c>
      <c r="D8" t="s">
        <v>856</v>
      </c>
      <c r="E8" t="s">
        <v>867</v>
      </c>
      <c r="F8" t="s">
        <v>868</v>
      </c>
      <c r="H8" t="s">
        <v>869</v>
      </c>
    </row>
    <row r="9" spans="1:8" ht="15" customHeight="1">
      <c r="A9" t="s">
        <v>870</v>
      </c>
      <c r="B9">
        <v>260</v>
      </c>
      <c r="C9" t="s">
        <v>767</v>
      </c>
      <c r="D9" t="s">
        <v>318</v>
      </c>
      <c r="E9" t="s">
        <v>871</v>
      </c>
      <c r="F9" t="s">
        <v>872</v>
      </c>
      <c r="H9" t="s">
        <v>873</v>
      </c>
    </row>
    <row r="10" spans="1:8" ht="15" customHeight="1">
      <c r="A10" t="s">
        <v>860</v>
      </c>
      <c r="B10">
        <v>300</v>
      </c>
      <c r="C10" t="s">
        <v>861</v>
      </c>
      <c r="D10" t="s">
        <v>862</v>
      </c>
      <c r="E10" t="s">
        <v>863</v>
      </c>
      <c r="F10" t="s">
        <v>864</v>
      </c>
      <c r="H10" t="s">
        <v>865</v>
      </c>
    </row>
    <row r="11" spans="1:8" ht="15" customHeight="1">
      <c r="A11" t="s">
        <v>874</v>
      </c>
      <c r="B11">
        <v>304</v>
      </c>
      <c r="C11" t="s">
        <v>875</v>
      </c>
      <c r="D11" t="s">
        <v>876</v>
      </c>
      <c r="E11" t="s">
        <v>877</v>
      </c>
      <c r="F11" t="s">
        <v>878</v>
      </c>
      <c r="H11" t="s">
        <v>879</v>
      </c>
    </row>
    <row r="12" spans="1:2" ht="15" customHeight="1">
      <c r="A12" s="467"/>
      <c r="B12" s="467"/>
    </row>
    <row r="13" spans="1:2" ht="15" customHeight="1">
      <c r="A13" s="467"/>
      <c r="B13" s="467"/>
    </row>
    <row r="14" spans="1:2" ht="15" customHeight="1">
      <c r="A14" s="467"/>
      <c r="B14" s="467"/>
    </row>
    <row r="15" spans="1:2" ht="15" customHeight="1">
      <c r="A15" s="467"/>
      <c r="B15" s="467"/>
    </row>
    <row r="16" spans="1:2" ht="15" customHeight="1">
      <c r="A16" s="467"/>
      <c r="B16" s="467"/>
    </row>
    <row r="17" spans="1:2" ht="15" customHeight="1">
      <c r="A17" s="467"/>
      <c r="B17" s="467"/>
    </row>
    <row r="18" spans="1:2" ht="15" customHeight="1">
      <c r="A18" s="467"/>
      <c r="B18" s="467"/>
    </row>
    <row r="19" spans="1:2" ht="15" customHeight="1">
      <c r="A19" s="467"/>
      <c r="B19" s="467"/>
    </row>
    <row r="20" spans="1:2" ht="15" customHeight="1">
      <c r="A20" s="467"/>
      <c r="B20" s="467"/>
    </row>
    <row r="21" spans="1:2" ht="15" customHeight="1">
      <c r="A21" s="467"/>
      <c r="B21" s="467"/>
    </row>
    <row r="22" spans="1:2" ht="15" customHeight="1">
      <c r="A22" s="467"/>
      <c r="B22" s="467"/>
    </row>
    <row r="23" spans="1:2" ht="15" customHeight="1">
      <c r="A23" s="467"/>
      <c r="B23" s="467"/>
    </row>
    <row r="24" spans="1:2" ht="15" customHeight="1">
      <c r="A24" s="467"/>
      <c r="B24" s="467"/>
    </row>
    <row r="25" spans="1:2" ht="15" customHeight="1">
      <c r="A25" s="467"/>
      <c r="B25" s="467"/>
    </row>
    <row r="26" spans="1:2" ht="15" customHeight="1">
      <c r="A26" s="467"/>
      <c r="B26" s="467"/>
    </row>
    <row r="27" spans="1:2" ht="15" customHeight="1">
      <c r="A27" s="467"/>
      <c r="B27" s="467"/>
    </row>
    <row r="28" spans="1:2" ht="15" customHeight="1">
      <c r="A28" s="467"/>
      <c r="B28" s="467"/>
    </row>
    <row r="29" spans="1:2" ht="15" customHeight="1">
      <c r="A29" s="467"/>
      <c r="B29" s="467"/>
    </row>
    <row r="30" spans="1:2" ht="15" customHeight="1">
      <c r="A30" s="467"/>
      <c r="B30" s="467"/>
    </row>
    <row r="31" spans="1:2" ht="15" customHeight="1">
      <c r="A31" s="467"/>
      <c r="B31" s="467"/>
    </row>
    <row r="32" spans="1:2" ht="15" customHeight="1">
      <c r="A32" s="467"/>
      <c r="B32" s="467"/>
    </row>
  </sheetData>
  <sheetProtection/>
  <autoFilter ref="A1:E9"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W79"/>
  <sheetViews>
    <sheetView showGridLines="0" showZeros="0" tabSelected="1" zoomScalePageLayoutView="0" workbookViewId="0" topLeftCell="A1">
      <pane ySplit="19" topLeftCell="A62" activePane="bottomLeft" state="frozen"/>
      <selection pane="topLeft" activeCell="W1" sqref="W1"/>
      <selection pane="bottomLeft" activeCell="O7" sqref="O7:P7"/>
    </sheetView>
  </sheetViews>
  <sheetFormatPr defaultColWidth="9.140625" defaultRowHeight="15" customHeight="1"/>
  <cols>
    <col min="1" max="1" width="3.28125" style="28" customWidth="1"/>
    <col min="2" max="2" width="4.7109375" style="28" customWidth="1"/>
    <col min="3" max="3" width="12.7109375" style="28" customWidth="1"/>
    <col min="4" max="4" width="1.28515625" style="28" customWidth="1"/>
    <col min="5" max="6" width="11.7109375" style="28" customWidth="1"/>
    <col min="7" max="7" width="2.00390625" style="28" customWidth="1"/>
    <col min="8" max="9" width="3.28125" style="28" customWidth="1"/>
    <col min="10" max="10" width="3.00390625" style="28" customWidth="1"/>
    <col min="11" max="11" width="7.140625" style="28" customWidth="1"/>
    <col min="12" max="12" width="5.7109375" style="28" customWidth="1"/>
    <col min="13" max="26" width="3.28125" style="28" customWidth="1"/>
    <col min="27" max="27" width="2.7109375" style="27" customWidth="1"/>
    <col min="28" max="28" width="44.8515625" style="28" hidden="1" customWidth="1"/>
    <col min="29" max="29" width="2.7109375" style="29" hidden="1" customWidth="1"/>
    <col min="30" max="40" width="2.7109375" style="28" hidden="1" customWidth="1"/>
    <col min="41" max="43" width="3.28125" style="28" hidden="1" customWidth="1"/>
    <col min="44" max="44" width="14.140625" style="28" customWidth="1"/>
    <col min="45" max="45" width="9.140625" style="28" customWidth="1"/>
    <col min="46" max="46" width="10.140625" style="28" bestFit="1" customWidth="1"/>
    <col min="47" max="47" width="17.8515625" style="28" bestFit="1" customWidth="1"/>
    <col min="48" max="49" width="9.8515625" style="28" bestFit="1" customWidth="1"/>
    <col min="50" max="16384" width="9.140625" style="28" customWidth="1"/>
  </cols>
  <sheetData>
    <row r="1" spans="1:29" s="15" customFormat="1" ht="15" customHeight="1">
      <c r="A1" s="549" t="str">
        <f>VLOOKUP("toernooi / tournoi :",'[1]Strings'!A3:K102,'[1]Strings'!A1,FALSE)</f>
        <v>Turnier :</v>
      </c>
      <c r="B1" s="550"/>
      <c r="C1" s="550"/>
      <c r="D1" s="551" t="s">
        <v>2989</v>
      </c>
      <c r="E1" s="551"/>
      <c r="F1" s="551"/>
      <c r="G1" s="551"/>
      <c r="H1" s="551"/>
      <c r="I1" s="551"/>
      <c r="J1" s="551"/>
      <c r="K1" s="551"/>
      <c r="L1" s="540" t="str">
        <f>VLOOKUP("Datum / Date :",'[1]Strings'!A3:K102,'[1]Strings'!A1,FALSE)</f>
        <v>Datum:</v>
      </c>
      <c r="M1" s="541"/>
      <c r="N1" s="541"/>
      <c r="O1" s="542" t="s">
        <v>2990</v>
      </c>
      <c r="P1" s="543"/>
      <c r="Q1" s="543"/>
      <c r="R1" s="543"/>
      <c r="S1" s="543"/>
      <c r="T1" s="543"/>
      <c r="U1" s="543"/>
      <c r="V1" s="544"/>
      <c r="W1" s="34" t="str">
        <f>VLOOKUP("BO",'[1]Strings'!A3:K102,'[1]Strings'!A1,FALSE)</f>
        <v>BO </v>
      </c>
      <c r="X1" s="531" t="str">
        <f>VLOOKUP("div",'[1]Strings'!A3:K102,'[1]Strings'!A1,FALSE)</f>
        <v>Division </v>
      </c>
      <c r="Y1" s="532"/>
      <c r="Z1" s="533"/>
      <c r="AA1" s="14"/>
      <c r="AC1" s="16"/>
    </row>
    <row r="2" spans="12:29" s="17" customFormat="1" ht="3.75" customHeight="1"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534">
        <v>1</v>
      </c>
      <c r="Y2" s="535"/>
      <c r="Z2" s="536"/>
      <c r="AA2" s="19"/>
      <c r="AC2" s="20"/>
    </row>
    <row r="3" spans="1:29" s="17" customFormat="1" ht="12" customHeight="1">
      <c r="A3" s="525" t="str">
        <f>VLOOKUP("Team :",'[1]Strings'!A3:K102,'[1]Strings'!A1,FALSE)</f>
        <v>Team:</v>
      </c>
      <c r="B3" s="526"/>
      <c r="C3" s="561" t="s">
        <v>852</v>
      </c>
      <c r="D3" s="561"/>
      <c r="E3" s="562"/>
      <c r="F3" s="562"/>
      <c r="G3" s="562"/>
      <c r="H3" s="562"/>
      <c r="I3" s="562"/>
      <c r="J3" s="562"/>
      <c r="K3" s="562"/>
      <c r="L3" s="547" t="str">
        <f>VLOOKUP("B.F.B. nr",'[1]Strings'!A3:K102,'[1]Strings'!A1,FALSE)</f>
        <v>Team Nr.</v>
      </c>
      <c r="M3" s="548"/>
      <c r="N3" s="539" t="str">
        <f>VLOOKUP("uitbreektijd :",'[1]Strings'!A3:K102,'[1]Strings'!A1,FALSE)</f>
        <v>Break Out Zeit</v>
      </c>
      <c r="O3" s="539"/>
      <c r="P3" s="539"/>
      <c r="Q3" s="539"/>
      <c r="R3" s="528">
        <v>16.54</v>
      </c>
      <c r="S3" s="528"/>
      <c r="T3" s="528"/>
      <c r="U3" s="528"/>
      <c r="V3" s="528"/>
      <c r="W3" s="12">
        <f>COUNTIF(V:V,"bo")</f>
        <v>0</v>
      </c>
      <c r="X3" s="535"/>
      <c r="Y3" s="535"/>
      <c r="Z3" s="536"/>
      <c r="AA3" s="14"/>
      <c r="AB3" s="15"/>
      <c r="AC3" s="16"/>
    </row>
    <row r="4" spans="1:29" s="17" customFormat="1" ht="12" customHeight="1">
      <c r="A4" s="530">
        <f>VLOOKUP("Equipe :",'[1]Strings'!A3:K102,'[1]Strings'!A1,FALSE)</f>
        <v>0</v>
      </c>
      <c r="B4" s="527"/>
      <c r="C4" s="563"/>
      <c r="D4" s="563"/>
      <c r="E4" s="563"/>
      <c r="F4" s="563"/>
      <c r="G4" s="563"/>
      <c r="H4" s="563"/>
      <c r="I4" s="563"/>
      <c r="J4" s="563"/>
      <c r="K4" s="563"/>
      <c r="L4" s="545">
        <v>180</v>
      </c>
      <c r="M4" s="546"/>
      <c r="N4" s="527">
        <f>VLOOKUP("temps limite :",'[1]Strings'!A3:K102,'[1]Strings'!A1,FALSE)</f>
        <v>0</v>
      </c>
      <c r="O4" s="527"/>
      <c r="P4" s="527"/>
      <c r="Q4" s="527"/>
      <c r="R4" s="529"/>
      <c r="S4" s="529"/>
      <c r="T4" s="529"/>
      <c r="U4" s="529"/>
      <c r="V4" s="529"/>
      <c r="W4" s="12">
        <f>COUNTIF(V:V,"int")</f>
        <v>0</v>
      </c>
      <c r="X4" s="537"/>
      <c r="Y4" s="537"/>
      <c r="Z4" s="538"/>
      <c r="AA4" s="14"/>
      <c r="AB4" s="15"/>
      <c r="AC4" s="16"/>
    </row>
    <row r="5" spans="12:29" s="17" customFormat="1" ht="3.75" customHeight="1" thickBot="1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C5" s="20"/>
    </row>
    <row r="6" spans="1:29" s="25" customFormat="1" ht="15" customHeight="1">
      <c r="A6" s="540" t="str">
        <f>VLOOKUP("Kapitein  /  Capitaine :",'[1]Strings'!A3:K102,'[1]Strings'!A1,FALSE)</f>
        <v>Kapitän :</v>
      </c>
      <c r="B6" s="556"/>
      <c r="C6" s="556"/>
      <c r="D6" s="557"/>
      <c r="E6" s="552" t="s">
        <v>307</v>
      </c>
      <c r="F6" s="552"/>
      <c r="G6" s="552"/>
      <c r="H6" s="552"/>
      <c r="I6" s="552"/>
      <c r="J6" s="553"/>
      <c r="K6" s="21"/>
      <c r="L6" s="510" t="str">
        <f>VLOOKUP("Beste Tijden",'[1]Strings'!A3:K102,'[1]Strings'!A1,FALSE)</f>
        <v>Beste Zeiten</v>
      </c>
      <c r="M6" s="511"/>
      <c r="N6" s="511"/>
      <c r="O6" s="496">
        <v>1</v>
      </c>
      <c r="P6" s="496"/>
      <c r="Q6" s="496">
        <v>2</v>
      </c>
      <c r="R6" s="496"/>
      <c r="S6" s="496">
        <v>3</v>
      </c>
      <c r="T6" s="496"/>
      <c r="U6" s="496">
        <v>4</v>
      </c>
      <c r="V6" s="496"/>
      <c r="W6" s="496">
        <v>5</v>
      </c>
      <c r="X6" s="496"/>
      <c r="Y6" s="496">
        <v>6</v>
      </c>
      <c r="Z6" s="497"/>
      <c r="AA6" s="22"/>
      <c r="AB6" s="23"/>
      <c r="AC6" s="24"/>
    </row>
    <row r="7" spans="1:26" ht="15" customHeight="1" thickBot="1">
      <c r="A7" s="558" t="str">
        <f>VLOOKUP("Ballader / Préposé au flybox :",'[1]Strings'!A3:K102,'[1]Strings'!A1,FALSE)</f>
        <v>Boxenlader :</v>
      </c>
      <c r="B7" s="559"/>
      <c r="C7" s="559"/>
      <c r="D7" s="560"/>
      <c r="E7" s="554" t="s">
        <v>202</v>
      </c>
      <c r="F7" s="554"/>
      <c r="G7" s="554"/>
      <c r="H7" s="554"/>
      <c r="I7" s="554"/>
      <c r="J7" s="555"/>
      <c r="K7" s="26"/>
      <c r="L7" s="512"/>
      <c r="M7" s="513"/>
      <c r="N7" s="513"/>
      <c r="O7" s="484">
        <f>IF($W$8&lt;O6,"",IF(SMALL($V$22:$X$76,O6)&lt;$R$3,"UIT !",SMALL($V$22:$X$76,O6)))</f>
        <v>19.65</v>
      </c>
      <c r="P7" s="484"/>
      <c r="Q7" s="484">
        <f>IF($W$8&lt;Q6,"",IF(SMALL($V$22:$X$76,Q6)&lt;$R$3,"UIT !",SMALL($V$22:$X$76,Q6)))</f>
        <v>19.98</v>
      </c>
      <c r="R7" s="484"/>
      <c r="S7" s="484">
        <f>IF($W$8&lt;S6,"",IF(SMALL($V$22:$X$76,S6)&lt;$R$3,"UIT !",SMALL($V$22:$X$76,S6)))</f>
        <v>20.03</v>
      </c>
      <c r="T7" s="484"/>
      <c r="U7" s="484">
        <f>IF($W$8&lt;U6,"",IF(SMALL($V$22:$X$76,U6)&lt;$R$3,"UIT !",SMALL($V$22:$X$76,U6)))</f>
        <v>20.06</v>
      </c>
      <c r="V7" s="484"/>
      <c r="W7" s="482">
        <f>IF($W$8&lt;W6,"",IF(SMALL($V$22:$X$76,W6)&lt;$R$3,"UIT !",SMALL($V$22:$X$76,W6)))</f>
        <v>20.1</v>
      </c>
      <c r="X7" s="482"/>
      <c r="Y7" s="482">
        <f>IF($W$8&lt;Y6,"",IF(SMALL($V$22:$X$76,Y6)&lt;$R$3,"UIT !",SMALL($V$22:$X$76,Y6)))</f>
        <v>20.14</v>
      </c>
      <c r="Z7" s="483"/>
    </row>
    <row r="8" spans="1:26" ht="3.75" customHeight="1" thickBot="1">
      <c r="A8" s="30"/>
      <c r="B8" s="30"/>
      <c r="C8" s="30"/>
      <c r="D8" s="30"/>
      <c r="E8" s="26"/>
      <c r="F8" s="26"/>
      <c r="G8" s="26"/>
      <c r="H8" s="26"/>
      <c r="I8" s="26"/>
      <c r="J8" s="26"/>
      <c r="K8" s="26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  <c r="W8" s="520">
        <f>COUNT(V22:X76)</f>
        <v>17</v>
      </c>
      <c r="X8" s="521"/>
      <c r="Y8" s="521"/>
      <c r="Z8" s="522"/>
    </row>
    <row r="9" spans="1:29" s="17" customFormat="1" ht="13.5" customHeight="1">
      <c r="A9" s="33"/>
      <c r="B9" s="523" t="str">
        <f>VLOOKUP("Naam hond",'[1]Strings'!A3:K102,'[1]Strings'!A1,FALSE)</f>
        <v>Hundename</v>
      </c>
      <c r="C9" s="523"/>
      <c r="D9" s="523"/>
      <c r="E9" s="498" t="str">
        <f>VLOOKUP("Ras",'[1]Strings'!A3:K102,'[1]Strings'!A1,FALSE)</f>
        <v>Rasse</v>
      </c>
      <c r="F9" s="499"/>
      <c r="G9" s="500"/>
      <c r="H9" s="499" t="str">
        <f>VLOOKUP("Sprong",'[1]Strings'!A3:K102,'[1]Strings'!A1,FALSE)</f>
        <v>Sprunghöhe</v>
      </c>
      <c r="I9" s="499"/>
      <c r="J9" s="506"/>
      <c r="K9" s="34" t="str">
        <f>VLOOKUP("controle",'[1]Strings'!A3:K102,'[1]Strings'!A1,FALSE)</f>
        <v>DE-Nr.</v>
      </c>
      <c r="L9" s="498" t="str">
        <f>VLOOKUP("BFB nr",'[1]Strings'!A3:K102,'[1]Strings'!A1,FALSE)</f>
        <v>Hunde Nr.</v>
      </c>
      <c r="M9" s="504"/>
      <c r="N9" s="499" t="str">
        <f>VLOOKUP("Geleider",'[1]Strings'!A3:K102,'[1]Strings'!A1,FALSE)</f>
        <v>Hundeführer</v>
      </c>
      <c r="O9" s="499"/>
      <c r="P9" s="499"/>
      <c r="Q9" s="499"/>
      <c r="R9" s="499"/>
      <c r="S9" s="499"/>
      <c r="T9" s="499"/>
      <c r="U9" s="499"/>
      <c r="V9" s="499"/>
      <c r="W9" s="514"/>
      <c r="X9" s="515"/>
      <c r="Y9" s="515"/>
      <c r="Z9" s="516"/>
      <c r="AA9" s="35"/>
      <c r="AB9" s="36"/>
      <c r="AC9" s="20"/>
    </row>
    <row r="10" spans="1:49" s="17" customFormat="1" ht="13.5" customHeight="1" thickBot="1">
      <c r="A10" s="37"/>
      <c r="B10" s="524">
        <f>VLOOKUP("Nom du chien",'[1]Strings'!A3:K102,'[1]Strings'!A1,FALSE)</f>
        <v>0</v>
      </c>
      <c r="C10" s="524"/>
      <c r="D10" s="524"/>
      <c r="E10" s="501">
        <f>VLOOKUP("Race(F)",'[1]Strings'!A3:K102,'[1]Strings'!A1,FALSE)</f>
        <v>0</v>
      </c>
      <c r="F10" s="502"/>
      <c r="G10" s="503"/>
      <c r="H10" s="502">
        <f>VLOOKUP("Saute",'[1]Strings'!A3:K102,'[1]Strings'!A1,FALSE)</f>
        <v>0</v>
      </c>
      <c r="I10" s="502"/>
      <c r="J10" s="507"/>
      <c r="K10" s="38"/>
      <c r="L10" s="501"/>
      <c r="M10" s="505" t="s">
        <v>15</v>
      </c>
      <c r="N10" s="502">
        <f>VLOOKUP("Conducteur",'[1]Strings'!A3:K102,'[1]Strings'!A1,FALSE)</f>
        <v>0</v>
      </c>
      <c r="O10" s="502"/>
      <c r="P10" s="502"/>
      <c r="Q10" s="502"/>
      <c r="R10" s="502"/>
      <c r="S10" s="502"/>
      <c r="T10" s="502"/>
      <c r="U10" s="502"/>
      <c r="V10" s="502"/>
      <c r="W10" s="517"/>
      <c r="X10" s="518"/>
      <c r="Y10" s="518"/>
      <c r="Z10" s="519"/>
      <c r="AA10" s="35"/>
      <c r="AB10" s="36"/>
      <c r="AC10" s="20"/>
      <c r="AR10" s="17" t="str">
        <f>VLOOKUP("Veterans (&gt;=32)",'[1]Strings'!A3:K102,'[1]Strings'!A1,FALSE)</f>
        <v>Veterans (&gt;=32)</v>
      </c>
      <c r="AS10" s="463" t="e">
        <f>SMALL(AS11:AS19,1)+SMALL(AS11:AS19,2)+SMALL(AS11:AS19,3)+SMALL(AS11:AS19,4)</f>
        <v>#VALUE!</v>
      </c>
      <c r="AT10" s="18" t="s">
        <v>837</v>
      </c>
      <c r="AU10" s="18" t="s">
        <v>169</v>
      </c>
      <c r="AV10" s="18" t="s">
        <v>838</v>
      </c>
      <c r="AW10" s="18" t="s">
        <v>166</v>
      </c>
    </row>
    <row r="11" spans="1:49" s="25" customFormat="1" ht="15" customHeight="1" thickBot="1">
      <c r="A11" s="39">
        <v>1</v>
      </c>
      <c r="B11" s="493" t="str">
        <f>IF($L11="","",VLOOKUP($L11,Honden,2,FALSE))</f>
        <v>Freya</v>
      </c>
      <c r="C11" s="494"/>
      <c r="D11" s="494"/>
      <c r="E11" s="493" t="str">
        <f>IF($L11="","",VLOOKUP($L11,Honden,3,FALSE))</f>
        <v>Malinois-Mix</v>
      </c>
      <c r="F11" s="494"/>
      <c r="G11" s="494"/>
      <c r="H11" s="508" t="str">
        <f>IF($L11="","",VLOOKUP($L11,Honden,4,FALSE))</f>
        <v>35,00</v>
      </c>
      <c r="I11" s="509"/>
      <c r="J11" s="75"/>
      <c r="K11" s="1" t="str">
        <f>IF($L11="","",VLOOKUP($L11,Honden!$B$2:$I$1200,8,))</f>
        <v>ok</v>
      </c>
      <c r="L11" s="495">
        <v>2795</v>
      </c>
      <c r="M11" s="495"/>
      <c r="N11" s="485" t="str">
        <f>IF($L11="","",VLOOKUP($L11,Honden,5,FALSE))</f>
        <v>Micha</v>
      </c>
      <c r="O11" s="485"/>
      <c r="P11" s="485"/>
      <c r="Q11" s="485" t="e">
        <v>#N/A</v>
      </c>
      <c r="R11" s="485"/>
      <c r="S11" s="485"/>
      <c r="T11" s="485" t="e">
        <v>#N/A</v>
      </c>
      <c r="U11" s="485"/>
      <c r="V11" s="486"/>
      <c r="W11" s="40"/>
      <c r="X11" s="41"/>
      <c r="Y11" s="42"/>
      <c r="Z11" s="43"/>
      <c r="AA11" s="22"/>
      <c r="AB11" s="23"/>
      <c r="AC11" s="24"/>
      <c r="AR11" s="464" t="str">
        <f>IF($L11="","",VLOOKUP($L11,Honden,6,FALSE))</f>
        <v>15.10.2015</v>
      </c>
      <c r="AS11" s="465" t="e">
        <f aca="true" t="shared" si="0" ref="AS11:AS19">IF(AR11&lt;&gt;"",ROUNDDOWN(_XLL.BRTEILJAHRE(AR11,$O$1),0),99)</f>
        <v>#VALUE!</v>
      </c>
      <c r="AT11" s="25" t="str">
        <f>IF($L11="","",VLOOKUP($L11,Honden!$B$2:$L$1200,9,))</f>
        <v>Attenberger</v>
      </c>
      <c r="AU11" s="25">
        <f>IF($L11="","",VLOOKUP($L11,Honden!$B$2:$L$1200,11,))</f>
        <v>276096909309618</v>
      </c>
      <c r="AV11" s="473" t="str">
        <f>IF($L11="","",VLOOKUP($L11,Honden!$B$2:$L$1200,6,))</f>
        <v>15.10.2015</v>
      </c>
      <c r="AW11" s="473" t="str">
        <f>IF($L11="","",VLOOKUP($L11,Honden!$B$2:$L$1200,7,))</f>
        <v>13.01.2019</v>
      </c>
    </row>
    <row r="12" spans="1:49" s="25" customFormat="1" ht="15" customHeight="1" thickBot="1">
      <c r="A12" s="44">
        <v>2</v>
      </c>
      <c r="B12" s="493" t="str">
        <f>IF($L12="","",VLOOKUP($L12,Honden,2,FALSE))</f>
        <v>Polly</v>
      </c>
      <c r="C12" s="494"/>
      <c r="D12" s="494"/>
      <c r="E12" s="493" t="str">
        <f>IF($L12="","",VLOOKUP($L12,Honden,3,FALSE))</f>
        <v>Border Collie</v>
      </c>
      <c r="F12" s="494"/>
      <c r="G12" s="494"/>
      <c r="H12" s="508" t="str">
        <f>IF($L12="","",VLOOKUP($L12,Honden,4,FALSE))</f>
        <v>35,00</v>
      </c>
      <c r="I12" s="509"/>
      <c r="J12" s="75"/>
      <c r="K12" s="1" t="str">
        <f>IF($L12="","",VLOOKUP($L12,Honden!$B$2:$I$1200,8,))</f>
        <v>ok</v>
      </c>
      <c r="L12" s="495">
        <v>1458</v>
      </c>
      <c r="M12" s="495"/>
      <c r="N12" s="485" t="str">
        <f>IF($L12="","",VLOOKUP($L12,Honden,5,FALSE))</f>
        <v>Dieter</v>
      </c>
      <c r="O12" s="485"/>
      <c r="P12" s="485"/>
      <c r="Q12" s="485" t="e">
        <v>#N/A</v>
      </c>
      <c r="R12" s="485"/>
      <c r="S12" s="485"/>
      <c r="T12" s="485" t="e">
        <v>#N/A</v>
      </c>
      <c r="U12" s="485"/>
      <c r="V12" s="486"/>
      <c r="W12" s="40"/>
      <c r="X12" s="41"/>
      <c r="Y12" s="42"/>
      <c r="Z12" s="43"/>
      <c r="AA12" s="22"/>
      <c r="AB12" s="23"/>
      <c r="AC12" s="24"/>
      <c r="AR12" s="464" t="str">
        <f>IF($L12="","",VLOOKUP($L12,Honden,6,FALSE))</f>
        <v>07.06.2006</v>
      </c>
      <c r="AS12" s="465" t="e">
        <f t="shared" si="0"/>
        <v>#VALUE!</v>
      </c>
      <c r="AT12" s="25" t="str">
        <f>IF($L12="","",VLOOKUP($L12,Honden!$B$2:$L$1200,9,))</f>
        <v>Bauer</v>
      </c>
      <c r="AU12" s="25">
        <f>IF($L12="","",VLOOKUP($L12,Honden!$B$2:$L$1200,11,))</f>
        <v>276098510273844</v>
      </c>
      <c r="AV12" s="473" t="str">
        <f>IF($L12="","",VLOOKUP($L12,Honden!$B$2:$L$1200,6,))</f>
        <v>07.06.2006</v>
      </c>
      <c r="AW12" s="473" t="str">
        <f>IF($L12="","",VLOOKUP($L12,Honden!$B$2:$L$1200,7,))</f>
        <v>02.11.2019</v>
      </c>
    </row>
    <row r="13" spans="1:49" s="25" customFormat="1" ht="15" customHeight="1" thickBot="1">
      <c r="A13" s="39">
        <v>3</v>
      </c>
      <c r="B13" s="493" t="str">
        <f>IF($L13="","",VLOOKUP($L13,Honden,2,FALSE))</f>
        <v>Kasi</v>
      </c>
      <c r="C13" s="494"/>
      <c r="D13" s="494"/>
      <c r="E13" s="493" t="str">
        <f>IF($L13="","",VLOOKUP($L13,Honden,3,FALSE))</f>
        <v>Parson Russell Terrier</v>
      </c>
      <c r="F13" s="494"/>
      <c r="G13" s="494"/>
      <c r="H13" s="508" t="str">
        <f>IF($L13="","",VLOOKUP($L13,Honden,4,FALSE))</f>
        <v>25,00</v>
      </c>
      <c r="I13" s="509"/>
      <c r="J13" s="75"/>
      <c r="K13" s="1">
        <f>IF($L13="","",VLOOKUP($L13,Honden!$B$2:$I$1200,8,))</f>
        <v>8009</v>
      </c>
      <c r="L13" s="495">
        <v>2386</v>
      </c>
      <c r="M13" s="495"/>
      <c r="N13" s="485" t="str">
        <f>IF($L13="","",VLOOKUP($L13,Honden,5,FALSE))</f>
        <v>Petra</v>
      </c>
      <c r="O13" s="485"/>
      <c r="P13" s="485"/>
      <c r="Q13" s="485" t="e">
        <v>#N/A</v>
      </c>
      <c r="R13" s="485"/>
      <c r="S13" s="485"/>
      <c r="T13" s="485" t="e">
        <v>#N/A</v>
      </c>
      <c r="U13" s="485"/>
      <c r="V13" s="486"/>
      <c r="W13" s="40"/>
      <c r="X13" s="41"/>
      <c r="Y13" s="42"/>
      <c r="Z13" s="43"/>
      <c r="AA13" s="22"/>
      <c r="AB13" s="23"/>
      <c r="AC13" s="24"/>
      <c r="AR13" s="464" t="str">
        <f>IF($L13="","",VLOOKUP($L13,Honden,6,FALSE))</f>
        <v>01.08.2011</v>
      </c>
      <c r="AS13" s="465" t="e">
        <f>IF(AR13&lt;&gt;"",ROUNDDOWN(_XLL.BRTEILJAHRE(AR13,$O$1),0),99)</f>
        <v>#VALUE!</v>
      </c>
      <c r="AT13" s="25" t="str">
        <f>IF($L13="","",VLOOKUP($L13,Honden!$B$2:$L$1200,9,))</f>
        <v>Zimmer</v>
      </c>
      <c r="AU13" s="25">
        <f>IF($L13="","",VLOOKUP($L13,Honden!$B$2:$L$1200,11,))</f>
        <v>934000011042934</v>
      </c>
      <c r="AV13" s="473" t="str">
        <f>IF($L13="","",VLOOKUP($L13,Honden!$B$2:$L$1200,6,))</f>
        <v>01.08.2011</v>
      </c>
      <c r="AW13" s="473" t="str">
        <f>IF($L13="","",VLOOKUP($L13,Honden!$B$2:$L$1200,7,))</f>
        <v>10.11.2018</v>
      </c>
    </row>
    <row r="14" spans="1:49" s="25" customFormat="1" ht="15" customHeight="1" thickBot="1">
      <c r="A14" s="44">
        <v>4</v>
      </c>
      <c r="B14" s="493" t="str">
        <f>IF($L14="","",VLOOKUP($L14,Honden,2,FALSE))</f>
        <v>Pepper</v>
      </c>
      <c r="C14" s="494"/>
      <c r="D14" s="494"/>
      <c r="E14" s="493" t="str">
        <f>IF($L14="","",VLOOKUP($L14,Honden,3,FALSE))</f>
        <v>Border Collie - Aussi - Mix</v>
      </c>
      <c r="F14" s="494"/>
      <c r="G14" s="494"/>
      <c r="H14" s="508" t="str">
        <f>IF($L14="","",VLOOKUP($L14,Honden,4,FALSE))</f>
        <v>35,00</v>
      </c>
      <c r="I14" s="509"/>
      <c r="J14" s="75"/>
      <c r="K14" s="1" t="str">
        <f>IF($L14="","",VLOOKUP($L14,Honden!$B$2:$I$1200,8,))</f>
        <v>ok</v>
      </c>
      <c r="L14" s="495">
        <v>2298</v>
      </c>
      <c r="M14" s="495"/>
      <c r="N14" s="485" t="str">
        <f>IF($L14="","",VLOOKUP($L14,Honden,5,FALSE))</f>
        <v>Daphne</v>
      </c>
      <c r="O14" s="485"/>
      <c r="P14" s="485"/>
      <c r="Q14" s="485" t="e">
        <v>#N/A</v>
      </c>
      <c r="R14" s="485"/>
      <c r="S14" s="485"/>
      <c r="T14" s="485" t="e">
        <v>#N/A</v>
      </c>
      <c r="U14" s="485"/>
      <c r="V14" s="486"/>
      <c r="W14" s="40"/>
      <c r="X14" s="41"/>
      <c r="Y14" s="42"/>
      <c r="Z14" s="43"/>
      <c r="AA14" s="22"/>
      <c r="AB14" s="23"/>
      <c r="AC14" s="24"/>
      <c r="AR14" s="464" t="str">
        <f>IF($L14="","",VLOOKUP($L14,Honden,6,FALSE))</f>
        <v>24.06.2013</v>
      </c>
      <c r="AS14" s="465" t="e">
        <f>IF(AR14&lt;&gt;"",ROUNDDOWN(_XLL.BRTEILJAHRE(AR14,$O$1),0),99)</f>
        <v>#VALUE!</v>
      </c>
      <c r="AT14" s="25" t="str">
        <f>IF($L14="","",VLOOKUP($L14,Honden!$B$2:$L$1200,9,))</f>
        <v>Cardinal</v>
      </c>
      <c r="AU14" s="25">
        <f>IF($L14="","",VLOOKUP($L14,Honden!$B$2:$L$1200,11,))</f>
        <v>276098104653017</v>
      </c>
      <c r="AV14" s="473" t="str">
        <f>IF($L14="","",VLOOKUP($L14,Honden!$B$2:$L$1200,6,))</f>
        <v>24.06.2013</v>
      </c>
      <c r="AW14" s="473" t="str">
        <f>IF($L14="","",VLOOKUP($L14,Honden!$B$2:$L$1200,7,))</f>
        <v>20.07.2017</v>
      </c>
    </row>
    <row r="15" spans="1:49" s="25" customFormat="1" ht="15" customHeight="1" thickBot="1">
      <c r="A15" s="39">
        <v>5</v>
      </c>
      <c r="B15" s="493" t="str">
        <f>IF($L15="","",VLOOKUP($L15,Honden,2,FALSE))</f>
        <v>Kira</v>
      </c>
      <c r="C15" s="494"/>
      <c r="D15" s="494"/>
      <c r="E15" s="493" t="str">
        <f>IF($L15="","",VLOOKUP($L15,Honden,3,FALSE))</f>
        <v>Border Collie Mix</v>
      </c>
      <c r="F15" s="494"/>
      <c r="G15" s="494"/>
      <c r="H15" s="508" t="str">
        <f>IF($L15="","",VLOOKUP($L15,Honden,4,FALSE))</f>
        <v>32,50</v>
      </c>
      <c r="I15" s="509"/>
      <c r="J15" s="75"/>
      <c r="K15" s="1">
        <f>IF($L15="","",VLOOKUP($L15,Honden!$B$2:$I$1200,8,))</f>
        <v>8002</v>
      </c>
      <c r="L15" s="495">
        <v>1253</v>
      </c>
      <c r="M15" s="495"/>
      <c r="N15" s="485" t="str">
        <f>IF($L15="","",VLOOKUP($L15,Honden,5,FALSE))</f>
        <v>Martina</v>
      </c>
      <c r="O15" s="485"/>
      <c r="P15" s="485"/>
      <c r="Q15" s="485" t="e">
        <v>#N/A</v>
      </c>
      <c r="R15" s="485"/>
      <c r="S15" s="485"/>
      <c r="T15" s="485" t="e">
        <v>#N/A</v>
      </c>
      <c r="U15" s="485"/>
      <c r="V15" s="486"/>
      <c r="W15" s="40"/>
      <c r="X15" s="41"/>
      <c r="Y15" s="42"/>
      <c r="Z15" s="43"/>
      <c r="AA15" s="22"/>
      <c r="AB15" s="23"/>
      <c r="AC15" s="24"/>
      <c r="AR15" s="464" t="str">
        <f>IF($L15="","",VLOOKUP($L15,Honden,6,FALSE))</f>
        <v>02.10.2008</v>
      </c>
      <c r="AS15" s="465" t="e">
        <f>IF(AR15&lt;&gt;"",ROUNDDOWN(_XLL.BRTEILJAHRE(AR15,$O$1),0),99)</f>
        <v>#VALUE!</v>
      </c>
      <c r="AT15" s="25" t="str">
        <f>IF($L15="","",VLOOKUP($L15,Honden!$B$2:$L$1200,9,))</f>
        <v>Cardinal</v>
      </c>
      <c r="AU15" s="25">
        <f>IF($L15="","",VLOOKUP($L15,Honden!$B$2:$L$1200,11,))</f>
        <v>27609600208433</v>
      </c>
      <c r="AV15" s="473" t="str">
        <f>IF($L15="","",VLOOKUP($L15,Honden!$B$2:$L$1200,6,))</f>
        <v>02.10.2008</v>
      </c>
      <c r="AW15" s="473" t="str">
        <f>IF($L15="","",VLOOKUP($L15,Honden!$B$2:$L$1200,7,))</f>
        <v>28.06.2019</v>
      </c>
    </row>
    <row r="16" spans="1:49" s="25" customFormat="1" ht="15" customHeight="1" thickBot="1">
      <c r="A16" s="44">
        <v>6</v>
      </c>
      <c r="B16" s="493" t="str">
        <f>IF($L16="","",VLOOKUP($L16,Honden,2,FALSE))</f>
        <v>Leni</v>
      </c>
      <c r="C16" s="494"/>
      <c r="D16" s="494"/>
      <c r="E16" s="493" t="str">
        <f>IF($L16="","",VLOOKUP($L16,Honden,3,FALSE))</f>
        <v>Kleinpudel</v>
      </c>
      <c r="F16" s="494"/>
      <c r="G16" s="494"/>
      <c r="H16" s="508" t="str">
        <f>IF($L16="","",VLOOKUP($L16,Honden,4,FALSE))</f>
        <v>22,50</v>
      </c>
      <c r="I16" s="509"/>
      <c r="J16" s="75"/>
      <c r="K16" s="1">
        <f>IF($L16="","",VLOOKUP($L16,Honden!$B$2:$I$1200,8,))</f>
        <v>8011</v>
      </c>
      <c r="L16" s="495">
        <v>2528</v>
      </c>
      <c r="M16" s="495"/>
      <c r="N16" s="485" t="str">
        <f>IF($L16="","",VLOOKUP($L16,Honden,5,FALSE))</f>
        <v>Gaby</v>
      </c>
      <c r="O16" s="485"/>
      <c r="P16" s="485"/>
      <c r="Q16" s="485" t="e">
        <v>#N/A</v>
      </c>
      <c r="R16" s="485"/>
      <c r="S16" s="485"/>
      <c r="T16" s="485" t="e">
        <v>#N/A</v>
      </c>
      <c r="U16" s="485"/>
      <c r="V16" s="486"/>
      <c r="W16" s="40"/>
      <c r="X16" s="41"/>
      <c r="Y16" s="42"/>
      <c r="Z16" s="43"/>
      <c r="AA16" s="22"/>
      <c r="AB16" s="23"/>
      <c r="AC16" s="24"/>
      <c r="AK16" s="45"/>
      <c r="AR16" s="464" t="str">
        <f>IF($L16="","",VLOOKUP($L16,Honden,6,FALSE))</f>
        <v>30.03.2014</v>
      </c>
      <c r="AS16" s="465" t="e">
        <f t="shared" si="0"/>
        <v>#VALUE!</v>
      </c>
      <c r="AT16" s="25" t="str">
        <f>IF($L16="","",VLOOKUP($L16,Honden!$B$2:$L$1200,9,))</f>
        <v>Viola</v>
      </c>
      <c r="AU16" s="25">
        <f>IF($L16="","",VLOOKUP($L16,Honden!$B$2:$L$1200,11,))</f>
        <v>276097202364157</v>
      </c>
      <c r="AV16" s="473" t="str">
        <f>IF($L16="","",VLOOKUP($L16,Honden!$B$2:$L$1200,6,))</f>
        <v>30.03.2014</v>
      </c>
      <c r="AW16" s="473" t="str">
        <f>IF($L16="","",VLOOKUP($L16,Honden!$B$2:$L$1200,7,))</f>
        <v>08.03.2018</v>
      </c>
    </row>
    <row r="17" spans="1:49" s="25" customFormat="1" ht="15" customHeight="1" thickBot="1">
      <c r="A17" s="39">
        <v>7</v>
      </c>
      <c r="B17" s="493">
        <f>IF($L17="","",VLOOKUP($L17,Honden,2,FALSE))</f>
      </c>
      <c r="C17" s="494"/>
      <c r="D17" s="494"/>
      <c r="E17" s="493">
        <f>IF($L17="","",VLOOKUP($L17,Honden,3,FALSE))</f>
      </c>
      <c r="F17" s="494"/>
      <c r="G17" s="494"/>
      <c r="H17" s="508">
        <f>IF($L17="","",VLOOKUP($L17,Honden,4,FALSE))</f>
      </c>
      <c r="I17" s="509"/>
      <c r="J17" s="75"/>
      <c r="K17" s="1">
        <f>IF($L17="","",VLOOKUP($L17,Honden!$B$2:$I$1200,8,))</f>
      </c>
      <c r="L17" s="495"/>
      <c r="M17" s="495"/>
      <c r="N17" s="485">
        <f>IF($L17="","",VLOOKUP($L17,Honden,5,FALSE))</f>
      </c>
      <c r="O17" s="485"/>
      <c r="P17" s="485"/>
      <c r="Q17" s="485" t="e">
        <v>#N/A</v>
      </c>
      <c r="R17" s="485"/>
      <c r="S17" s="485"/>
      <c r="T17" s="485" t="e">
        <v>#N/A</v>
      </c>
      <c r="U17" s="485"/>
      <c r="V17" s="486"/>
      <c r="W17" s="40"/>
      <c r="X17" s="41"/>
      <c r="Y17" s="42"/>
      <c r="Z17" s="43"/>
      <c r="AA17" s="22"/>
      <c r="AB17" s="23"/>
      <c r="AC17" s="24"/>
      <c r="AR17" s="464">
        <f>IF($L17="","",VLOOKUP($L17,Honden,6,FALSE))</f>
      </c>
      <c r="AS17" s="465">
        <f t="shared" si="0"/>
        <v>99</v>
      </c>
      <c r="AT17" s="25">
        <f>IF($L17="","",VLOOKUP($L17,Honden!$B$2:$L$1200,9,))</f>
      </c>
      <c r="AU17" s="25">
        <f>IF($L17="","",VLOOKUP($L17,Honden!$B$2:$L$1200,11,))</f>
      </c>
      <c r="AV17" s="473">
        <f>IF($L17="","",VLOOKUP($L17,Honden!$B$2:$L$1200,6,))</f>
      </c>
      <c r="AW17" s="473">
        <f>IF($L17="","",VLOOKUP($L17,Honden!$B$2:$L$1200,7,))</f>
      </c>
    </row>
    <row r="18" spans="1:49" s="25" customFormat="1" ht="15" customHeight="1" thickBot="1">
      <c r="A18" s="44">
        <v>8</v>
      </c>
      <c r="B18" s="493">
        <f>IF($L18="","",VLOOKUP($L18,Honden,2,FALSE))</f>
      </c>
      <c r="C18" s="494"/>
      <c r="D18" s="494"/>
      <c r="E18" s="493">
        <f>IF($L18="","",VLOOKUP($L18,Honden,3,FALSE))</f>
      </c>
      <c r="F18" s="494"/>
      <c r="G18" s="494"/>
      <c r="H18" s="508">
        <f>IF($L18="","",VLOOKUP($L18,Honden,4,FALSE))</f>
      </c>
      <c r="I18" s="509"/>
      <c r="J18" s="75"/>
      <c r="K18" s="1">
        <f>IF($L18="","",VLOOKUP($L18,Honden!$B$2:$I$1200,8,))</f>
      </c>
      <c r="L18" s="495"/>
      <c r="M18" s="495"/>
      <c r="N18" s="485">
        <f>IF($L18="","",VLOOKUP($L18,Honden,5,FALSE))</f>
      </c>
      <c r="O18" s="485"/>
      <c r="P18" s="485"/>
      <c r="Q18" s="485" t="e">
        <v>#N/A</v>
      </c>
      <c r="R18" s="485"/>
      <c r="S18" s="485"/>
      <c r="T18" s="485" t="e">
        <v>#N/A</v>
      </c>
      <c r="U18" s="485"/>
      <c r="V18" s="486"/>
      <c r="W18" s="40"/>
      <c r="X18" s="41"/>
      <c r="Y18" s="42"/>
      <c r="Z18" s="43"/>
      <c r="AA18" s="22"/>
      <c r="AB18" s="23"/>
      <c r="AC18" s="24"/>
      <c r="AR18" s="464">
        <f>IF($L18="","",VLOOKUP($L18,Honden,6,FALSE))</f>
      </c>
      <c r="AS18" s="465">
        <f t="shared" si="0"/>
        <v>99</v>
      </c>
      <c r="AT18" s="25">
        <f>IF($L18="","",VLOOKUP($L18,Honden!$B$2:$L$1200,9,))</f>
      </c>
      <c r="AU18" s="25">
        <f>IF($L18="","",VLOOKUP($L18,Honden!$B$2:$L$1200,11,))</f>
      </c>
      <c r="AV18" s="473">
        <f>IF($L18="","",VLOOKUP($L18,Honden!$B$2:$L$1200,6,))</f>
      </c>
      <c r="AW18" s="473">
        <f>IF($L18="","",VLOOKUP($L18,Honden!$B$2:$L$1200,7,))</f>
      </c>
    </row>
    <row r="19" spans="1:49" s="25" customFormat="1" ht="15" customHeight="1" thickBot="1">
      <c r="A19" s="46">
        <v>9</v>
      </c>
      <c r="B19" s="493">
        <f>IF($L19="","",VLOOKUP($L19,Honden,2,FALSE))</f>
      </c>
      <c r="C19" s="494"/>
      <c r="D19" s="494"/>
      <c r="E19" s="493">
        <f>IF($L19="","",VLOOKUP($L19,Honden,3,FALSE))</f>
      </c>
      <c r="F19" s="494"/>
      <c r="G19" s="494"/>
      <c r="H19" s="508">
        <f>IF($L19="","",VLOOKUP($L19,Honden,4,FALSE))</f>
      </c>
      <c r="I19" s="509"/>
      <c r="J19" s="75"/>
      <c r="K19" s="1">
        <f>IF($L19="","",VLOOKUP($L19,Honden!$B$2:$I$1200,8,))</f>
      </c>
      <c r="L19" s="495"/>
      <c r="M19" s="495"/>
      <c r="N19" s="485">
        <f>IF($L19="","",VLOOKUP($L19,Honden,5,FALSE))</f>
      </c>
      <c r="O19" s="485"/>
      <c r="P19" s="485"/>
      <c r="Q19" s="485" t="e">
        <v>#N/A</v>
      </c>
      <c r="R19" s="485"/>
      <c r="S19" s="485"/>
      <c r="T19" s="485" t="e">
        <v>#N/A</v>
      </c>
      <c r="U19" s="485"/>
      <c r="V19" s="486"/>
      <c r="W19" s="47"/>
      <c r="X19" s="48"/>
      <c r="Y19" s="49"/>
      <c r="Z19" s="50"/>
      <c r="AA19" s="22"/>
      <c r="AB19" s="23"/>
      <c r="AC19" s="566">
        <v>1</v>
      </c>
      <c r="AD19" s="567"/>
      <c r="AE19" s="566">
        <v>2</v>
      </c>
      <c r="AF19" s="567"/>
      <c r="AG19" s="566">
        <v>3</v>
      </c>
      <c r="AH19" s="567"/>
      <c r="AI19" s="566">
        <v>4</v>
      </c>
      <c r="AJ19" s="567"/>
      <c r="AK19" s="566">
        <v>5</v>
      </c>
      <c r="AL19" s="567"/>
      <c r="AM19" s="566">
        <v>6</v>
      </c>
      <c r="AN19" s="567"/>
      <c r="AR19" s="464">
        <f>IF($L19="","",VLOOKUP($L19,Honden,6,FALSE))</f>
      </c>
      <c r="AS19" s="465">
        <f t="shared" si="0"/>
        <v>99</v>
      </c>
      <c r="AT19" s="25">
        <f>IF($L19="","",VLOOKUP($L19,Honden!$B$2:$L$1200,9,))</f>
      </c>
      <c r="AU19" s="25">
        <f>IF($L19="","",VLOOKUP($L19,Honden!$B$2:$L$1200,11,))</f>
      </c>
      <c r="AV19" s="473">
        <f>IF($L19="","",VLOOKUP($L19,Honden!$B$2:$L$1200,6,))</f>
      </c>
      <c r="AW19" s="473">
        <f>IF($L19="","",VLOOKUP($L19,Honden!$B$2:$L$1200,7,))</f>
      </c>
    </row>
    <row r="20" spans="1:40" ht="6" customHeight="1">
      <c r="A20" s="32"/>
      <c r="B20" s="32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</row>
    <row r="21" spans="1:42" ht="15" customHeight="1">
      <c r="A21" s="364"/>
      <c r="B21" s="54"/>
      <c r="C21" s="365"/>
      <c r="D21" s="32"/>
      <c r="E21" s="55" t="str">
        <f>VLOOKUP("race",'[1]Strings'!$A$3:$K$102,'[1]Strings'!$A$1,FALSE)</f>
        <v>Rennen</v>
      </c>
      <c r="F21" s="55" t="str">
        <f>VLOOKUP("baan / piste",'[1]Strings'!$A$3:$K$102,'[1]Strings'!$A$1,FALSE)</f>
        <v>Bahn</v>
      </c>
      <c r="G21" s="55"/>
      <c r="H21" s="476" t="str">
        <f>VLOOKUP("tegen / contre",'[1]Strings'!$A$3:$K$102,'[1]Strings'!$A$1,FALSE)</f>
        <v>gegen</v>
      </c>
      <c r="I21" s="476"/>
      <c r="J21" s="476"/>
      <c r="K21" s="476"/>
      <c r="L21" s="477"/>
      <c r="M21" s="477" t="str">
        <f>VLOOKUP("heat",'[1]Strings'!$A$3:$K$102,'[1]Strings'!$A$1,FALSE)</f>
        <v>Lauf</v>
      </c>
      <c r="N21" s="477"/>
      <c r="O21" s="476" t="str">
        <f>VLOOKUP("Honden / chiens",'[1]Strings'!$A$3:$K$102,'[1]Strings'!$A$1,FALSE)</f>
        <v>Hunde</v>
      </c>
      <c r="P21" s="476"/>
      <c r="Q21" s="476"/>
      <c r="R21" s="476"/>
      <c r="S21" s="476"/>
      <c r="T21" s="476"/>
      <c r="U21" s="162" t="str">
        <f>VLOOKUP("          Tijd/temps",'[1]Strings'!$A$3:$K$102,'[1]Strings'!$A$1,FALSE)</f>
        <v>           Zeit</v>
      </c>
      <c r="V21" s="163"/>
      <c r="W21" s="163"/>
      <c r="X21" s="163"/>
      <c r="Y21" s="161" t="str">
        <f>VLOOKUP("    W / L / T",'[1]Strings'!$A$3:$K$102,'[1]Strings'!$A$1,FALSE)</f>
        <v>    W/L/T</v>
      </c>
      <c r="Z21" s="55"/>
      <c r="AA21" s="56"/>
      <c r="AB21" s="55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0"/>
      <c r="AP21" s="478"/>
    </row>
    <row r="22" spans="1:42" ht="15" customHeight="1">
      <c r="A22" s="366"/>
      <c r="B22" s="32"/>
      <c r="C22" s="367"/>
      <c r="D22" s="32"/>
      <c r="E22" s="488">
        <f>RR4!C3</f>
        <v>1</v>
      </c>
      <c r="F22" s="59">
        <f>IF(RR4!E3="rood",VLOOKUP("Rood / Rouge",'[1]Strings'!$A$3:$K$102,'[1]Strings'!$A$1,FALSE),"")</f>
      </c>
      <c r="H22" s="478" t="str">
        <f>VLOOKUP(E22&amp;$C$3,RR4!$U$5:$AV$33,28,FALSE)</f>
        <v>Fast'nFurious Flyballteam</v>
      </c>
      <c r="I22" s="478"/>
      <c r="J22" s="478"/>
      <c r="K22" s="478"/>
      <c r="L22" s="479"/>
      <c r="M22" s="491">
        <v>1</v>
      </c>
      <c r="N22" s="492"/>
      <c r="O22" s="12">
        <v>1</v>
      </c>
      <c r="P22" s="12">
        <v>5</v>
      </c>
      <c r="Q22" s="12">
        <v>3</v>
      </c>
      <c r="R22" s="12">
        <v>4</v>
      </c>
      <c r="S22" s="468"/>
      <c r="T22" s="469"/>
      <c r="U22" s="61">
        <f>IF(V22="","",IF(COUNT(O22:T22)&lt;&gt;4,"X",""))</f>
      </c>
      <c r="V22" s="480" t="s">
        <v>2993</v>
      </c>
      <c r="W22" s="481"/>
      <c r="X22" s="481"/>
      <c r="Y22" s="61">
        <f>IF($V22="","",IF($R$3&gt;$V22,"X",""))</f>
      </c>
      <c r="Z22" s="12" t="s">
        <v>2994</v>
      </c>
      <c r="AA22" s="11">
        <f>IF(OR(AND(V22="",Z22&lt;&gt;""),AND(V22&lt;&gt;"",Z22=""),AND(V22="w",Z22&lt;&gt;"w"),AND(V22="nt",Z22="w"),RR4!F4="x"),"x","")</f>
      </c>
      <c r="AC22" s="62" t="str">
        <f>IF(AND(COUNT($V22)=1,OR($O22=1,$P22=1,$Q22=1,$R22=1,$S22=1,$T22=1)),INT($V22),"x")</f>
        <v>x</v>
      </c>
      <c r="AD22" s="63">
        <f>IF(AC22="x","",IF(AC22=SMALL($AC$22:$AC$76,1),AC22,""))</f>
      </c>
      <c r="AE22" s="62" t="str">
        <f>IF(AND(COUNT($V22)=1,OR($O22=2,$P22=2,$Q22=2,$R22=2,$S22=2,$T22=2)),INT($V22),"x")</f>
        <v>x</v>
      </c>
      <c r="AF22" s="63">
        <f>IF(AE22="x","",IF(AE22=SMALL($AE$22:$AE$76,1),AE22,""))</f>
      </c>
      <c r="AG22" s="62" t="str">
        <f>IF(AND(COUNT($V22)=1,OR($O22=3,$P22=3,$Q22=3,$R22=3,$S22=3,$T22=3)),INT($V22),"x")</f>
        <v>x</v>
      </c>
      <c r="AH22" s="63">
        <f>IF(AG22="x","",IF(AG22=SMALL($AG$22:$AG$76,1),AG22,""))</f>
      </c>
      <c r="AI22" s="62" t="str">
        <f>IF(AND(COUNT($V22)=1,OR($O22=4,$P22=4,$Q22=4,$R22=4,$S22=4,$T22=4)),INT($V22),"x")</f>
        <v>x</v>
      </c>
      <c r="AJ22" s="63">
        <f>IF(AI22="x","",IF(AI22=SMALL($AI$22:$AI$76,1),AI22,""))</f>
      </c>
      <c r="AK22" s="62" t="str">
        <f>IF(AND(COUNT($V22)=1,OR($O22=5,$P22=5,$Q22=5,$R22=5,$S22=5,$T22=5)),INT($V22),"x")</f>
        <v>x</v>
      </c>
      <c r="AL22" s="63">
        <f>IF(AK22="x","",IF(AK22=SMALL($AK$22:$AK$76,1),AK22,""))</f>
      </c>
      <c r="AM22" s="62" t="str">
        <f>IF(AND(COUNT($V22)=1,OR($O22=6,$P22=6,$Q22=6,$R22=6,$S22=6,$T22=6)),INT($V22),"x")</f>
        <v>x</v>
      </c>
      <c r="AN22" s="63">
        <f>IF(AM22="x","",IF(AM22=SMALL($AM$22:$AM$76,1),AM22,""))</f>
      </c>
      <c r="AO22" s="64"/>
      <c r="AP22" s="32"/>
    </row>
    <row r="23" spans="1:42" ht="15" customHeight="1">
      <c r="A23" s="366"/>
      <c r="B23" s="32"/>
      <c r="C23" s="367"/>
      <c r="D23" s="32"/>
      <c r="E23" s="489"/>
      <c r="F23" s="59" t="str">
        <f>IF(RR4!E3="blauw",VLOOKUP("Blauw / Bleu",'[1]Strings'!$A$3:$K$102,'[1]Strings'!$A$1,FALSE),"")</f>
        <v>Blau</v>
      </c>
      <c r="H23" s="490">
        <f>IF(OR(U22="x",Y22="x",AA22="x"),"CONTROLEER INVOER       HEAT 1",IF(OR(U23="x",Y23="x",AA23="x"),"CONTROLEER INVOER       HEAT 2",IF(OR(U24="x",Y24="x",AA24="x"),"CONTROLEER INVOER       HEAT 3",IF(OR(U25="x",Y25="x",AA25="x"),"CONTROLEER INVOER       HEAT 4",IF(OR(U26="x",Y26="x",AA26="x"),"CONTROLEER INVOER       HEAT 5","")))))</f>
      </c>
      <c r="I23" s="490"/>
      <c r="J23" s="490"/>
      <c r="K23" s="490"/>
      <c r="L23" s="490"/>
      <c r="M23" s="491">
        <v>2</v>
      </c>
      <c r="N23" s="492"/>
      <c r="O23" s="12">
        <v>1</v>
      </c>
      <c r="P23" s="12">
        <v>5</v>
      </c>
      <c r="Q23" s="12">
        <v>3</v>
      </c>
      <c r="R23" s="12">
        <v>4</v>
      </c>
      <c r="S23" s="468"/>
      <c r="T23" s="469"/>
      <c r="U23" s="61">
        <f>IF(V23="","",IF(COUNT(O23:T23)&lt;&gt;4,"X",""))</f>
      </c>
      <c r="V23" s="480">
        <v>20.89</v>
      </c>
      <c r="W23" s="481"/>
      <c r="X23" s="481"/>
      <c r="Y23" s="61">
        <f>IF($V23="","",IF($R$3&gt;$V23,"X",""))</f>
      </c>
      <c r="Z23" s="12" t="s">
        <v>2994</v>
      </c>
      <c r="AA23" s="11">
        <f>IF(OR(AND(V23="",Z23&lt;&gt;""),AND(V23&lt;&gt;"",Z23=""),AND(V23="w",Z23&lt;&gt;"w"),AND(V23="nt",Z23="w"),RR4!F5="x"),"x","")</f>
      </c>
      <c r="AC23" s="62">
        <f>IF(AND(COUNT($V23)=1,OR($O23=1,$P23=1,$Q23=1,$R23=1,$S23=1,$T23=1)),INT($V23),"x")</f>
        <v>20</v>
      </c>
      <c r="AD23" s="63">
        <f>IF(AC23="x","",IF(AC23=SMALL($AC$22:$AC$76,1),AC23,""))</f>
      </c>
      <c r="AE23" s="62" t="str">
        <f>IF(AND(COUNT($V23)=1,OR($O23=2,$P23=2,$Q23=2,$R23=2,$S23=2,$T23=2)),INT($V23),"x")</f>
        <v>x</v>
      </c>
      <c r="AF23" s="63">
        <f>IF(AE23="x","",IF(AE23=SMALL($AE$22:$AE$76,1),AE23,""))</f>
      </c>
      <c r="AG23" s="62">
        <f>IF(AND(COUNT($V23)=1,OR($O23=3,$P23=3,$Q23=3,$R23=3,$S23=3,$T23=3)),INT($V23),"x")</f>
        <v>20</v>
      </c>
      <c r="AH23" s="63">
        <f>IF(AG23="x","",IF(AG23=SMALL($AG$22:$AG$76,1),AG23,""))</f>
      </c>
      <c r="AI23" s="62">
        <f>IF(AND(COUNT($V23)=1,OR($O23=4,$P23=4,$Q23=4,$R23=4,$S23=4,$T23=4)),INT($V23),"x")</f>
        <v>20</v>
      </c>
      <c r="AJ23" s="63">
        <f>IF(AI23="x","",IF(AI23=SMALL($AI$22:$AI$76,1),AI23,""))</f>
      </c>
      <c r="AK23" s="62">
        <f>IF(AND(COUNT($V23)=1,OR($O23=5,$P23=5,$Q23=5,$R23=5,$S23=5,$T23=5)),INT($V23),"x")</f>
        <v>20</v>
      </c>
      <c r="AL23" s="63">
        <f>IF(AK23="x","",IF(AK23=SMALL($AK$22:$AK$76,1),AK23,""))</f>
        <v>20</v>
      </c>
      <c r="AM23" s="62" t="str">
        <f>IF(AND(COUNT($V23)=1,OR($O23=6,$P23=6,$Q23=6,$R23=6,$S23=6,$T23=6)),INT($V23),"x")</f>
        <v>x</v>
      </c>
      <c r="AN23" s="63">
        <f>IF(AM23="x","",IF(AM23=SMALL($AM$22:$AM$76,1),AM23,""))</f>
      </c>
      <c r="AO23" s="64"/>
      <c r="AP23" s="32"/>
    </row>
    <row r="24" spans="1:42" ht="15" customHeight="1">
      <c r="A24" s="366"/>
      <c r="B24" s="32"/>
      <c r="C24" s="367"/>
      <c r="D24" s="32"/>
      <c r="E24" s="2" t="str">
        <f>uitslagen!$B$2</f>
        <v>RR</v>
      </c>
      <c r="H24" s="490"/>
      <c r="I24" s="490"/>
      <c r="J24" s="490"/>
      <c r="K24" s="490"/>
      <c r="L24" s="490"/>
      <c r="M24" s="491">
        <v>3</v>
      </c>
      <c r="N24" s="492"/>
      <c r="O24" s="12">
        <v>1</v>
      </c>
      <c r="P24" s="12">
        <v>5</v>
      </c>
      <c r="Q24" s="12">
        <v>3</v>
      </c>
      <c r="R24" s="12">
        <v>4</v>
      </c>
      <c r="S24" s="468"/>
      <c r="T24" s="469"/>
      <c r="U24" s="61">
        <f>IF(V24="","",IF(COUNT(O24:T24)&lt;&gt;4,"X",""))</f>
      </c>
      <c r="V24" s="480" t="s">
        <v>2993</v>
      </c>
      <c r="W24" s="481"/>
      <c r="X24" s="481"/>
      <c r="Y24" s="61">
        <f>IF($V24="","",IF($R$3&gt;$V24,"X",""))</f>
      </c>
      <c r="Z24" s="12" t="s">
        <v>2994</v>
      </c>
      <c r="AA24" s="11">
        <f>IF(OR(AND(V24="",Z24&lt;&gt;""),AND(V24&lt;&gt;"",Z24=""),AND(V24="w",Z24&lt;&gt;"w"),AND(V24="nt",Z24="w"),RR4!F6="x"),"x","")</f>
      </c>
      <c r="AC24" s="62" t="str">
        <f>IF(AND(COUNT($V24)=1,OR($O24=1,$P24=1,$Q24=1,$R24=1,$S24=1,$T24=1)),INT($V24),"x")</f>
        <v>x</v>
      </c>
      <c r="AD24" s="63">
        <f>IF(AC24="x","",IF(AC24=SMALL($AC$22:$AC$76,1),AC24,""))</f>
      </c>
      <c r="AE24" s="62" t="str">
        <f>IF(AND(COUNT($V24)=1,OR($O24=2,$P24=2,$Q24=2,$R24=2,$S24=2,$T24=2)),INT($V24),"x")</f>
        <v>x</v>
      </c>
      <c r="AF24" s="63">
        <f>IF(AE24="x","",IF(AE24=SMALL($AE$22:$AE$76,1),AE24,""))</f>
      </c>
      <c r="AG24" s="62" t="str">
        <f>IF(AND(COUNT($V24)=1,OR($O24=3,$P24=3,$Q24=3,$R24=3,$S24=3,$T24=3)),INT($V24),"x")</f>
        <v>x</v>
      </c>
      <c r="AH24" s="63">
        <f>IF(AG24="x","",IF(AG24=SMALL($AG$22:$AG$76,1),AG24,""))</f>
      </c>
      <c r="AI24" s="62" t="str">
        <f>IF(AND(COUNT($V24)=1,OR($O24=4,$P24=4,$Q24=4,$R24=4,$S24=4,$T24=4)),INT($V24),"x")</f>
        <v>x</v>
      </c>
      <c r="AJ24" s="63">
        <f>IF(AI24="x","",IF(AI24=SMALL($AI$22:$AI$76,1),AI24,""))</f>
      </c>
      <c r="AK24" s="62" t="str">
        <f>IF(AND(COUNT($V24)=1,OR($O24=5,$P24=5,$Q24=5,$R24=5,$S24=5,$T24=5)),INT($V24),"x")</f>
        <v>x</v>
      </c>
      <c r="AL24" s="63">
        <f>IF(AK24="x","",IF(AK24=SMALL($AK$22:$AK$76,1),AK24,""))</f>
      </c>
      <c r="AM24" s="62" t="str">
        <f>IF(AND(COUNT($V24)=1,OR($O24=6,$P24=6,$Q24=6,$R24=6,$S24=6,$T24=6)),INT($V24),"x")</f>
        <v>x</v>
      </c>
      <c r="AN24" s="63">
        <f>IF(AM24="x","",IF(AM24=SMALL($AM$22:$AM$76,1),AM24,""))</f>
      </c>
      <c r="AO24" s="64"/>
      <c r="AP24" s="32"/>
    </row>
    <row r="25" spans="1:42" ht="15" customHeight="1">
      <c r="A25" s="366"/>
      <c r="B25" s="32"/>
      <c r="C25" s="367"/>
      <c r="D25" s="32"/>
      <c r="H25" s="490"/>
      <c r="I25" s="490"/>
      <c r="J25" s="490"/>
      <c r="K25" s="490"/>
      <c r="L25" s="490"/>
      <c r="M25" s="491">
        <v>4</v>
      </c>
      <c r="N25" s="492"/>
      <c r="O25" s="12">
        <v>1</v>
      </c>
      <c r="P25" s="12">
        <v>5</v>
      </c>
      <c r="Q25" s="12">
        <v>3</v>
      </c>
      <c r="R25" s="12">
        <v>4</v>
      </c>
      <c r="S25" s="468"/>
      <c r="T25" s="469"/>
      <c r="U25" s="61">
        <f>IF(V25="","",IF(COUNT(O25:T25)&lt;&gt;4,"X",""))</f>
      </c>
      <c r="V25" s="480">
        <v>33.46</v>
      </c>
      <c r="W25" s="481"/>
      <c r="X25" s="481"/>
      <c r="Y25" s="61">
        <f>IF($V25="","",IF($R$3&gt;$V25,"X",""))</f>
      </c>
      <c r="Z25" s="12" t="s">
        <v>2994</v>
      </c>
      <c r="AA25" s="11">
        <f>IF(OR(AND(V25="",Z25&lt;&gt;""),AND(V25&lt;&gt;"",Z25=""),AND(V25="w",Z25&lt;&gt;"w"),AND(V25="nt",Z25="w"),RR4!F7="x"),"x","")</f>
      </c>
      <c r="AC25" s="62">
        <f>IF(AND(COUNT($V25)=1,OR($O25=1,$P25=1,$Q25=1,$R25=1,$S25=1,$T25=1)),INT($V25),"x")</f>
        <v>33</v>
      </c>
      <c r="AD25" s="63">
        <f>IF(AC25="x","",IF(AC25=SMALL($AC$22:$AC$76,1),AC25,""))</f>
      </c>
      <c r="AE25" s="62" t="str">
        <f>IF(AND(COUNT($V25)=1,OR($O25=2,$P25=2,$Q25=2,$R25=2,$S25=2,$T25=2)),INT($V25),"x")</f>
        <v>x</v>
      </c>
      <c r="AF25" s="63">
        <f>IF(AE25="x","",IF(AE25=SMALL($AE$22:$AE$76,1),AE25,""))</f>
      </c>
      <c r="AG25" s="62">
        <f>IF(AND(COUNT($V25)=1,OR($O25=3,$P25=3,$Q25=3,$R25=3,$S25=3,$T25=3)),INT($V25),"x")</f>
        <v>33</v>
      </c>
      <c r="AH25" s="63">
        <f>IF(AG25="x","",IF(AG25=SMALL($AG$22:$AG$76,1),AG25,""))</f>
      </c>
      <c r="AI25" s="62">
        <f>IF(AND(COUNT($V25)=1,OR($O25=4,$P25=4,$Q25=4,$R25=4,$S25=4,$T25=4)),INT($V25),"x")</f>
        <v>33</v>
      </c>
      <c r="AJ25" s="63">
        <f>IF(AI25="x","",IF(AI25=SMALL($AI$22:$AI$76,1),AI25,""))</f>
      </c>
      <c r="AK25" s="62">
        <f>IF(AND(COUNT($V25)=1,OR($O25=5,$P25=5,$Q25=5,$R25=5,$S25=5,$T25=5)),INT($V25),"x")</f>
        <v>33</v>
      </c>
      <c r="AL25" s="63">
        <f>IF(AK25="x","",IF(AK25=SMALL($AK$22:$AK$76,1),AK25,""))</f>
      </c>
      <c r="AM25" s="62" t="str">
        <f>IF(AND(COUNT($V25)=1,OR($O25=6,$P25=6,$Q25=6,$R25=6,$S25=6,$T25=6)),INT($V25),"x")</f>
        <v>x</v>
      </c>
      <c r="AN25" s="63">
        <f>IF(AM25="x","",IF(AM25=SMALL($AM$22:$AM$76,1),AM25,""))</f>
      </c>
      <c r="AO25" s="64"/>
      <c r="AP25" s="32"/>
    </row>
    <row r="26" spans="1:42" ht="15" customHeight="1">
      <c r="A26" s="366"/>
      <c r="B26" s="32"/>
      <c r="C26" s="367"/>
      <c r="D26" s="32"/>
      <c r="H26" s="490"/>
      <c r="I26" s="490"/>
      <c r="J26" s="490"/>
      <c r="K26" s="490"/>
      <c r="L26" s="490"/>
      <c r="M26" s="491">
        <v>5</v>
      </c>
      <c r="N26" s="492"/>
      <c r="O26" s="12"/>
      <c r="P26" s="12"/>
      <c r="Q26" s="12"/>
      <c r="R26" s="12"/>
      <c r="S26" s="468"/>
      <c r="T26" s="469"/>
      <c r="U26" s="61">
        <f>IF(V26="","",IF(COUNT(O26:T26)&lt;&gt;4,"X",""))</f>
      </c>
      <c r="V26" s="480"/>
      <c r="W26" s="481"/>
      <c r="X26" s="481"/>
      <c r="Y26" s="61">
        <f>IF($V26="","",IF($R$3&gt;$V26,"X",""))</f>
      </c>
      <c r="Z26" s="12"/>
      <c r="AA26" s="11">
        <f>IF(OR(AND(V26="",Z26&lt;&gt;""),AND(V26&lt;&gt;"",Z26=""),AND(V26="w",Z26&lt;&gt;"w"),AND(V26="nt",Z26="w"),RR4!F8="x"),"x","")</f>
      </c>
      <c r="AC26" s="65" t="str">
        <f>IF(AND(COUNT($V26)=1,OR($O26=1,$P26=1,$Q26=1,$R26=1,$S26=1,$T26=1)),INT($V26),"x")</f>
        <v>x</v>
      </c>
      <c r="AD26" s="66">
        <f>IF(AC26="x","",IF(AC26=SMALL($AC$22:$AC$76,1),AC26,""))</f>
      </c>
      <c r="AE26" s="65" t="str">
        <f>IF(AND(COUNT($V26)=1,OR($O26=2,$P26=2,$Q26=2,$R26=2,$S26=2,$T26=2)),INT($V26),"x")</f>
        <v>x</v>
      </c>
      <c r="AF26" s="63">
        <f>IF(AE26="x","",IF(AE26=SMALL($AE$22:$AE$76,1),AE26,""))</f>
      </c>
      <c r="AG26" s="65" t="str">
        <f>IF(AND(COUNT($V26)=1,OR($O26=3,$P26=3,$Q26=3,$R26=3,$S26=3,$T26=3)),INT($V26),"x")</f>
        <v>x</v>
      </c>
      <c r="AH26" s="63">
        <f>IF(AG26="x","",IF(AG26=SMALL($AG$22:$AG$76,1),AG26,""))</f>
      </c>
      <c r="AI26" s="65" t="str">
        <f>IF(AND(COUNT($V26)=1,OR($O26=4,$P26=4,$Q26=4,$R26=4,$S26=4,$T26=4)),INT($V26),"x")</f>
        <v>x</v>
      </c>
      <c r="AJ26" s="63">
        <f>IF(AI26="x","",IF(AI26=SMALL($AI$22:$AI$76,1),AI26,""))</f>
      </c>
      <c r="AK26" s="65" t="str">
        <f>IF(AND(COUNT($V26)=1,OR($O26=5,$P26=5,$Q26=5,$R26=5,$S26=5,$T26=5)),INT($V26),"x")</f>
        <v>x</v>
      </c>
      <c r="AL26" s="63">
        <f>IF(AK26="x","",IF(AK26=SMALL($AK$22:$AK$76,1),AK26,""))</f>
      </c>
      <c r="AM26" s="65" t="str">
        <f>IF(AND(COUNT($V26)=1,OR($O26=6,$P26=6,$Q26=6,$R26=6,$S26=6,$T26=6)),INT($V26),"x")</f>
        <v>x</v>
      </c>
      <c r="AN26" s="63">
        <f>IF(AM26="x","",IF(AM26=SMALL($AM$22:$AM$76,1),AM26,""))</f>
      </c>
      <c r="AO26" s="64"/>
      <c r="AP26" s="32"/>
    </row>
    <row r="27" spans="1:40" ht="3.75" customHeight="1">
      <c r="A27" s="366"/>
      <c r="B27" s="32"/>
      <c r="C27" s="3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487"/>
      <c r="W27" s="487"/>
      <c r="X27" s="487"/>
      <c r="Y27" s="67"/>
      <c r="Z27" s="76"/>
      <c r="AA27" s="68"/>
      <c r="AC27" s="69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42" ht="15" customHeight="1">
      <c r="A28" s="366"/>
      <c r="B28" s="32"/>
      <c r="C28" s="367"/>
      <c r="D28" s="32"/>
      <c r="E28" s="55" t="str">
        <f>VLOOKUP("race",'[1]Strings'!$A$3:$K$102,'[1]Strings'!$A$1,FALSE)</f>
        <v>Rennen</v>
      </c>
      <c r="F28" s="55" t="str">
        <f>VLOOKUP("baan / piste",'[1]Strings'!$A$3:$K$102,'[1]Strings'!$A$1,FALSE)</f>
        <v>Bahn</v>
      </c>
      <c r="G28" s="55"/>
      <c r="H28" s="476" t="str">
        <f>VLOOKUP("tegen / contre",'[1]Strings'!$A$3:$K$102,'[1]Strings'!$A$1,FALSE)</f>
        <v>gegen</v>
      </c>
      <c r="I28" s="476"/>
      <c r="J28" s="476"/>
      <c r="K28" s="476"/>
      <c r="L28" s="477"/>
      <c r="M28" s="477" t="str">
        <f>VLOOKUP("heat",'[1]Strings'!$A$3:$K$102,'[1]Strings'!$A$1,FALSE)</f>
        <v>Lauf</v>
      </c>
      <c r="N28" s="477"/>
      <c r="O28" s="476" t="str">
        <f>VLOOKUP("Honden / chiens",'[1]Strings'!$A$3:$K$102,'[1]Strings'!$A$1,FALSE)</f>
        <v>Hunde</v>
      </c>
      <c r="P28" s="476"/>
      <c r="Q28" s="476"/>
      <c r="R28" s="476"/>
      <c r="S28" s="476"/>
      <c r="T28" s="476"/>
      <c r="U28" s="162" t="str">
        <f>VLOOKUP("          Tijd/temps",'[1]Strings'!$A$3:$K$102,'[1]Strings'!$A$1,FALSE)</f>
        <v>           Zeit</v>
      </c>
      <c r="V28" s="163"/>
      <c r="W28" s="163"/>
      <c r="X28" s="163"/>
      <c r="Y28" s="161" t="str">
        <f>VLOOKUP("    W / L / T",'[1]Strings'!$A$3:$K$102,'[1]Strings'!$A$1,FALSE)</f>
        <v>    W/L/T</v>
      </c>
      <c r="Z28" s="55"/>
      <c r="AA28" s="68"/>
      <c r="AB28" s="55"/>
      <c r="AC28" s="70"/>
      <c r="AD28" s="67"/>
      <c r="AE28" s="70"/>
      <c r="AF28" s="67"/>
      <c r="AG28" s="70"/>
      <c r="AH28" s="67"/>
      <c r="AI28" s="70"/>
      <c r="AJ28" s="67"/>
      <c r="AK28" s="70"/>
      <c r="AL28" s="67"/>
      <c r="AM28" s="70"/>
      <c r="AN28" s="67"/>
      <c r="AO28" s="565"/>
      <c r="AP28" s="478"/>
    </row>
    <row r="29" spans="1:42" ht="15" customHeight="1">
      <c r="A29" s="366"/>
      <c r="B29" s="32"/>
      <c r="C29" s="367"/>
      <c r="D29" s="32"/>
      <c r="E29" s="488">
        <f>RR4!C10</f>
        <v>3</v>
      </c>
      <c r="F29" s="59" t="str">
        <f>IF(RR4!E10="rood",VLOOKUP("Rood / Rouge",'[1]Strings'!$A$3:$K$102,'[1]Strings'!$A$1,FALSE),"")</f>
        <v>Rot</v>
      </c>
      <c r="H29" s="478" t="str">
        <f>VLOOKUP(E29&amp;$C$3,RR4!$U$5:$AV$33,28,FALSE)</f>
        <v>Flying Stars</v>
      </c>
      <c r="I29" s="478"/>
      <c r="J29" s="478"/>
      <c r="K29" s="478"/>
      <c r="L29" s="479"/>
      <c r="M29" s="491">
        <v>1</v>
      </c>
      <c r="N29" s="492"/>
      <c r="O29" s="12">
        <v>1</v>
      </c>
      <c r="P29" s="12">
        <v>2</v>
      </c>
      <c r="Q29" s="12">
        <v>3</v>
      </c>
      <c r="R29" s="12">
        <v>4</v>
      </c>
      <c r="S29" s="468"/>
      <c r="T29" s="469"/>
      <c r="U29" s="61">
        <f>IF(V29="","",IF(COUNT(O29:T29)&lt;&gt;4,"X",""))</f>
      </c>
      <c r="V29" s="480" t="s">
        <v>2993</v>
      </c>
      <c r="W29" s="481"/>
      <c r="X29" s="481"/>
      <c r="Y29" s="61">
        <f>IF($V29="","",IF($R$3&gt;$V29,"X",""))</f>
      </c>
      <c r="Z29" s="12" t="s">
        <v>2994</v>
      </c>
      <c r="AA29" s="11">
        <f>IF(OR(AND(V29="",Z29&lt;&gt;""),AND(V29&lt;&gt;"",Z29=""),AND(V29="w",Z29&lt;&gt;"w"),AND(V29="nt",Z29="w"),RR4!F11="x"),"x","")</f>
      </c>
      <c r="AC29" s="62" t="str">
        <f>IF(AND(COUNT($V29)=1,OR($O29=1,$P29=1,$Q29=1,$R29=1,$S29=1,$T29=1)),INT($V29),"x")</f>
        <v>x</v>
      </c>
      <c r="AD29" s="63">
        <f>IF(AC29="x","",IF(AC29=SMALL($AC$22:$AC$76,1),AC29,""))</f>
      </c>
      <c r="AE29" s="62" t="str">
        <f>IF(AND(COUNT($V29)=1,OR($O29=2,$P29=2,$Q29=2,$R29=2,$S29=2,$T29=2)),INT($V29),"x")</f>
        <v>x</v>
      </c>
      <c r="AF29" s="63">
        <f>IF(AE29="x","",IF(AE29=SMALL($AE$22:$AE$76,1),AE29,""))</f>
      </c>
      <c r="AG29" s="62" t="str">
        <f>IF(AND(COUNT($V29)=1,OR($O29=3,$P29=3,$Q29=3,$R29=3,$S29=3,$T29=3)),INT($V29),"x")</f>
        <v>x</v>
      </c>
      <c r="AH29" s="63">
        <f>IF(AG29="x","",IF(AG29=SMALL($AG$22:$AG$76,1),AG29,""))</f>
      </c>
      <c r="AI29" s="62" t="str">
        <f>IF(AND(COUNT($V29)=1,OR($O29=4,$P29=4,$Q29=4,$R29=4,$S29=4,$T29=4)),INT($V29),"x")</f>
        <v>x</v>
      </c>
      <c r="AJ29" s="63">
        <f>IF(AI29="x","",IF(AI29=SMALL($AI$22:$AI$76,1),AI29,""))</f>
      </c>
      <c r="AK29" s="62" t="str">
        <f>IF(AND(COUNT($V29)=1,OR($O29=5,$P29=5,$Q29=5,$R29=5,$S29=5,$T29=5)),INT($V29),"x")</f>
        <v>x</v>
      </c>
      <c r="AL29" s="63">
        <f>IF(AK29="x","",IF(AK29=SMALL($AK$22:$AK$76,1),AK29,""))</f>
      </c>
      <c r="AM29" s="62" t="str">
        <f>IF(AND(COUNT($V29)=1,OR($O29=6,$P29=6,$Q29=6,$R29=6,$S29=6,$T29=6)),INT($V29),"x")</f>
        <v>x</v>
      </c>
      <c r="AN29" s="63">
        <f>IF(AM29="x","",IF(AM29=SMALL($AM$22:$AM$76,1),AM29,""))</f>
      </c>
      <c r="AO29" s="64"/>
      <c r="AP29" s="32"/>
    </row>
    <row r="30" spans="1:42" ht="15" customHeight="1">
      <c r="A30" s="366"/>
      <c r="B30" s="32"/>
      <c r="C30" s="367"/>
      <c r="D30" s="32"/>
      <c r="E30" s="489"/>
      <c r="F30" s="59">
        <f>IF(RR4!E10="blauw",VLOOKUP("Blauw / Bleu",'[1]Strings'!$A$3:$K$102,'[1]Strings'!$A$1,FALSE),"")</f>
      </c>
      <c r="H30" s="490">
        <f>IF(OR(U29="x",Y29="x",AA29="x"),"CONTROLEER INVOER       HEAT 1",IF(OR(U30="x",Y30="x",AA30="x"),"CONTROLEER INVOER       HEAT 2",IF(OR(U31="x",Y31="x",AA31="x"),"CONTROLEER INVOER       HEAT 3",IF(OR(U32="x",Y32="x",AA32="x"),"CONTROLEER INVOER       HEAT 4",IF(OR(U33="x",Y33="x",AA33="x"),"CONTROLEER INVOER       HEAT 5","")))))</f>
      </c>
      <c r="I30" s="490"/>
      <c r="J30" s="490"/>
      <c r="K30" s="490"/>
      <c r="L30" s="490"/>
      <c r="M30" s="491">
        <v>2</v>
      </c>
      <c r="N30" s="492"/>
      <c r="O30" s="12">
        <v>1</v>
      </c>
      <c r="P30" s="12">
        <v>2</v>
      </c>
      <c r="Q30" s="12">
        <v>3</v>
      </c>
      <c r="R30" s="12">
        <v>4</v>
      </c>
      <c r="S30" s="468"/>
      <c r="T30" s="469"/>
      <c r="U30" s="61">
        <f>IF(V30="","",IF(COUNT(O30:T30)&lt;&gt;4,"X",""))</f>
      </c>
      <c r="V30" s="480">
        <v>20.19</v>
      </c>
      <c r="W30" s="481"/>
      <c r="X30" s="481"/>
      <c r="Y30" s="61">
        <f>IF($V30="","",IF($R$3&gt;$V30,"X",""))</f>
      </c>
      <c r="Z30" s="12" t="s">
        <v>2992</v>
      </c>
      <c r="AA30" s="11">
        <f>IF(OR(AND(V30="",Z30&lt;&gt;""),AND(V30&lt;&gt;"",Z30=""),AND(V30="w",Z30&lt;&gt;"w"),AND(V30="nt",Z30="w"),RR4!F12="x"),"x","")</f>
      </c>
      <c r="AC30" s="62">
        <f>IF(AND(COUNT($V30)=1,OR($O30=1,$P30=1,$Q30=1,$R30=1,$S30=1,$T30=1)),INT($V30),"x")</f>
        <v>20</v>
      </c>
      <c r="AD30" s="63">
        <f>IF(AC30="x","",IF(AC30=SMALL($AC$22:$AC$76,1),AC30,""))</f>
      </c>
      <c r="AE30" s="62">
        <f>IF(AND(COUNT($V30)=1,OR($O30=2,$P30=2,$Q30=2,$R30=2,$S30=2,$T30=2)),INT($V30),"x")</f>
        <v>20</v>
      </c>
      <c r="AF30" s="63">
        <f>IF(AE30="x","",IF(AE30=SMALL($AE$22:$AE$76,1),AE30,""))</f>
      </c>
      <c r="AG30" s="62">
        <f>IF(AND(COUNT($V30)=1,OR($O30=3,$P30=3,$Q30=3,$R30=3,$S30=3,$T30=3)),INT($V30),"x")</f>
        <v>20</v>
      </c>
      <c r="AH30" s="63">
        <f>IF(AG30="x","",IF(AG30=SMALL($AG$22:$AG$76,1),AG30,""))</f>
      </c>
      <c r="AI30" s="62">
        <f>IF(AND(COUNT($V30)=1,OR($O30=4,$P30=4,$Q30=4,$R30=4,$S30=4,$T30=4)),INT($V30),"x")</f>
        <v>20</v>
      </c>
      <c r="AJ30" s="63">
        <f>IF(AI30="x","",IF(AI30=SMALL($AI$22:$AI$76,1),AI30,""))</f>
      </c>
      <c r="AK30" s="62" t="str">
        <f>IF(AND(COUNT($V30)=1,OR($O30=5,$P30=5,$Q30=5,$R30=5,$S30=5,$T30=5)),INT($V30),"x")</f>
        <v>x</v>
      </c>
      <c r="AL30" s="63">
        <f>IF(AK30="x","",IF(AK30=SMALL($AK$22:$AK$76,1),AK30,""))</f>
      </c>
      <c r="AM30" s="62" t="str">
        <f>IF(AND(COUNT($V30)=1,OR($O30=6,$P30=6,$Q30=6,$R30=6,$S30=6,$T30=6)),INT($V30),"x")</f>
        <v>x</v>
      </c>
      <c r="AN30" s="63">
        <f>IF(AM30="x","",IF(AM30=SMALL($AM$22:$AM$76,1),AM30,""))</f>
      </c>
      <c r="AO30" s="64"/>
      <c r="AP30" s="32"/>
    </row>
    <row r="31" spans="1:42" ht="15" customHeight="1">
      <c r="A31" s="366"/>
      <c r="B31" s="32"/>
      <c r="C31" s="367"/>
      <c r="D31" s="32"/>
      <c r="E31" s="2" t="str">
        <f>uitslagen!$B$2</f>
        <v>RR</v>
      </c>
      <c r="H31" s="490"/>
      <c r="I31" s="490"/>
      <c r="J31" s="490"/>
      <c r="K31" s="490"/>
      <c r="L31" s="490"/>
      <c r="M31" s="491">
        <v>3</v>
      </c>
      <c r="N31" s="492"/>
      <c r="O31" s="12">
        <v>1</v>
      </c>
      <c r="P31" s="12">
        <v>2</v>
      </c>
      <c r="Q31" s="12">
        <v>3</v>
      </c>
      <c r="R31" s="12">
        <v>4</v>
      </c>
      <c r="S31" s="468"/>
      <c r="T31" s="469"/>
      <c r="U31" s="61">
        <f>IF(V31="","",IF(COUNT(O31:T31)&lt;&gt;4,"X",""))</f>
      </c>
      <c r="V31" s="480" t="s">
        <v>2993</v>
      </c>
      <c r="W31" s="481"/>
      <c r="X31" s="481"/>
      <c r="Y31" s="61">
        <f>IF($V31="","",IF($R$3&gt;$V31,"X",""))</f>
      </c>
      <c r="Z31" s="12" t="s">
        <v>2994</v>
      </c>
      <c r="AA31" s="11">
        <f>IF(OR(AND(V31="",Z31&lt;&gt;""),AND(V31&lt;&gt;"",Z31=""),AND(V31="w",Z31&lt;&gt;"w"),AND(V31="nt",Z31="w"),RR4!F13="x"),"x","")</f>
      </c>
      <c r="AC31" s="62" t="str">
        <f>IF(AND(COUNT($V31)=1,OR($O31=1,$P31=1,$Q31=1,$R31=1,$S31=1,$T31=1)),INT($V31),"x")</f>
        <v>x</v>
      </c>
      <c r="AD31" s="63">
        <f>IF(AC31="x","",IF(AC31=SMALL($AC$22:$AC$76,1),AC31,""))</f>
      </c>
      <c r="AE31" s="62" t="str">
        <f>IF(AND(COUNT($V31)=1,OR($O31=2,$P31=2,$Q31=2,$R31=2,$S31=2,$T31=2)),INT($V31),"x")</f>
        <v>x</v>
      </c>
      <c r="AF31" s="63">
        <f>IF(AE31="x","",IF(AE31=SMALL($AE$22:$AE$76,1),AE31,""))</f>
      </c>
      <c r="AG31" s="62" t="str">
        <f>IF(AND(COUNT($V31)=1,OR($O31=3,$P31=3,$Q31=3,$R31=3,$S31=3,$T31=3)),INT($V31),"x")</f>
        <v>x</v>
      </c>
      <c r="AH31" s="63">
        <f>IF(AG31="x","",IF(AG31=SMALL($AG$22:$AG$76,1),AG31,""))</f>
      </c>
      <c r="AI31" s="62" t="str">
        <f>IF(AND(COUNT($V31)=1,OR($O31=4,$P31=4,$Q31=4,$R31=4,$S31=4,$T31=4)),INT($V31),"x")</f>
        <v>x</v>
      </c>
      <c r="AJ31" s="63">
        <f>IF(AI31="x","",IF(AI31=SMALL($AI$22:$AI$76,1),AI31,""))</f>
      </c>
      <c r="AK31" s="62" t="str">
        <f>IF(AND(COUNT($V31)=1,OR($O31=5,$P31=5,$Q31=5,$R31=5,$S31=5,$T31=5)),INT($V31),"x")</f>
        <v>x</v>
      </c>
      <c r="AL31" s="63">
        <f>IF(AK31="x","",IF(AK31=SMALL($AK$22:$AK$76,1),AK31,""))</f>
      </c>
      <c r="AM31" s="62" t="str">
        <f>IF(AND(COUNT($V31)=1,OR($O31=6,$P31=6,$Q31=6,$R31=6,$S31=6,$T31=6)),INT($V31),"x")</f>
        <v>x</v>
      </c>
      <c r="AN31" s="63">
        <f>IF(AM31="x","",IF(AM31=SMALL($AM$22:$AM$76,1),AM31,""))</f>
      </c>
      <c r="AO31" s="64"/>
      <c r="AP31" s="32"/>
    </row>
    <row r="32" spans="1:42" ht="15" customHeight="1">
      <c r="A32" s="366"/>
      <c r="B32" s="32"/>
      <c r="C32" s="367"/>
      <c r="D32" s="32"/>
      <c r="H32" s="490"/>
      <c r="I32" s="490"/>
      <c r="J32" s="490"/>
      <c r="K32" s="490"/>
      <c r="L32" s="490"/>
      <c r="M32" s="491">
        <v>4</v>
      </c>
      <c r="N32" s="492"/>
      <c r="O32" s="12">
        <v>1</v>
      </c>
      <c r="P32" s="12">
        <v>2</v>
      </c>
      <c r="Q32" s="12">
        <v>3</v>
      </c>
      <c r="R32" s="12">
        <v>4</v>
      </c>
      <c r="S32" s="468"/>
      <c r="T32" s="469"/>
      <c r="U32" s="61">
        <f>IF(V32="","",IF(COUNT(O32:T32)&lt;&gt;4,"X",""))</f>
      </c>
      <c r="V32" s="480" t="s">
        <v>2993</v>
      </c>
      <c r="W32" s="481"/>
      <c r="X32" s="481"/>
      <c r="Y32" s="61">
        <f>IF($V32="","",IF($R$3&gt;$V32,"X",""))</f>
      </c>
      <c r="Z32" s="12" t="s">
        <v>2994</v>
      </c>
      <c r="AA32" s="11">
        <f>IF(OR(AND(V32="",Z32&lt;&gt;""),AND(V32&lt;&gt;"",Z32=""),AND(V32="w",Z32&lt;&gt;"w"),AND(V32="nt",Z32="w"),RR4!F14="x"),"x","")</f>
      </c>
      <c r="AC32" s="62" t="str">
        <f>IF(AND(COUNT($V32)=1,OR($O32=1,$P32=1,$Q32=1,$R32=1,$S32=1,$T32=1)),INT($V32),"x")</f>
        <v>x</v>
      </c>
      <c r="AD32" s="63">
        <f>IF(AC32="x","",IF(AC32=SMALL($AC$22:$AC$76,1),AC32,""))</f>
      </c>
      <c r="AE32" s="62" t="str">
        <f>IF(AND(COUNT($V32)=1,OR($O32=2,$P32=2,$Q32=2,$R32=2,$S32=2,$T32=2)),INT($V32),"x")</f>
        <v>x</v>
      </c>
      <c r="AF32" s="63">
        <f>IF(AE32="x","",IF(AE32=SMALL($AE$22:$AE$76,1),AE32,""))</f>
      </c>
      <c r="AG32" s="62" t="str">
        <f>IF(AND(COUNT($V32)=1,OR($O32=3,$P32=3,$Q32=3,$R32=3,$S32=3,$T32=3)),INT($V32),"x")</f>
        <v>x</v>
      </c>
      <c r="AH32" s="63">
        <f>IF(AG32="x","",IF(AG32=SMALL($AG$22:$AG$76,1),AG32,""))</f>
      </c>
      <c r="AI32" s="62" t="str">
        <f>IF(AND(COUNT($V32)=1,OR($O32=4,$P32=4,$Q32=4,$R32=4,$S32=4,$T32=4)),INT($V32),"x")</f>
        <v>x</v>
      </c>
      <c r="AJ32" s="63">
        <f>IF(AI32="x","",IF(AI32=SMALL($AI$22:$AI$76,1),AI32,""))</f>
      </c>
      <c r="AK32" s="62" t="str">
        <f>IF(AND(COUNT($V32)=1,OR($O32=5,$P32=5,$Q32=5,$R32=5,$S32=5,$T32=5)),INT($V32),"x")</f>
        <v>x</v>
      </c>
      <c r="AL32" s="63">
        <f>IF(AK32="x","",IF(AK32=SMALL($AK$22:$AK$76,1),AK32,""))</f>
      </c>
      <c r="AM32" s="62" t="str">
        <f>IF(AND(COUNT($V32)=1,OR($O32=6,$P32=6,$Q32=6,$R32=6,$S32=6,$T32=6)),INT($V32),"x")</f>
        <v>x</v>
      </c>
      <c r="AN32" s="63">
        <f>IF(AM32="x","",IF(AM32=SMALL($AM$22:$AM$76,1),AM32,""))</f>
      </c>
      <c r="AO32" s="64"/>
      <c r="AP32" s="32"/>
    </row>
    <row r="33" spans="1:42" ht="15" customHeight="1">
      <c r="A33" s="366"/>
      <c r="B33" s="32"/>
      <c r="C33" s="367"/>
      <c r="D33" s="32"/>
      <c r="H33" s="490"/>
      <c r="I33" s="490"/>
      <c r="J33" s="490"/>
      <c r="K33" s="490"/>
      <c r="L33" s="490"/>
      <c r="M33" s="491">
        <v>5</v>
      </c>
      <c r="N33" s="492"/>
      <c r="O33" s="12"/>
      <c r="P33" s="12"/>
      <c r="Q33" s="12"/>
      <c r="R33" s="12"/>
      <c r="S33" s="468"/>
      <c r="T33" s="469"/>
      <c r="U33" s="61">
        <f>IF(V33="","",IF(COUNT(O33:T33)&lt;&gt;4,"X",""))</f>
      </c>
      <c r="V33" s="480"/>
      <c r="W33" s="481"/>
      <c r="X33" s="481"/>
      <c r="Y33" s="61">
        <f>IF($V33="","",IF($R$3&gt;$V33,"X",""))</f>
      </c>
      <c r="Z33" s="12"/>
      <c r="AA33" s="11">
        <f>IF(OR(AND(V33="",Z33&lt;&gt;""),AND(V33&lt;&gt;"",Z33=""),AND(V33="w",Z33&lt;&gt;"w"),AND(V33="nt",Z33="w"),RR4!F15="x"),"x","")</f>
      </c>
      <c r="AC33" s="65" t="str">
        <f>IF(AND(COUNT($V33)=1,OR($O33=1,$P33=1,$Q33=1,$R33=1,$S33=1,$T33=1)),INT($V33),"x")</f>
        <v>x</v>
      </c>
      <c r="AD33" s="66">
        <f>IF(AC33="x","",IF(AC33=SMALL($AC$22:$AC$76,1),AC33,""))</f>
      </c>
      <c r="AE33" s="65" t="str">
        <f>IF(AND(COUNT($V33)=1,OR($O33=2,$P33=2,$Q33=2,$R33=2,$S33=2,$T33=2)),INT($V33),"x")</f>
        <v>x</v>
      </c>
      <c r="AF33" s="63">
        <f>IF(AE33="x","",IF(AE33=SMALL($AE$22:$AE$76,1),AE33,""))</f>
      </c>
      <c r="AG33" s="65" t="str">
        <f>IF(AND(COUNT($V33)=1,OR($O33=3,$P33=3,$Q33=3,$R33=3,$S33=3,$T33=3)),INT($V33),"x")</f>
        <v>x</v>
      </c>
      <c r="AH33" s="63">
        <f>IF(AG33="x","",IF(AG33=SMALL($AG$22:$AG$76,1),AG33,""))</f>
      </c>
      <c r="AI33" s="65" t="str">
        <f>IF(AND(COUNT($V33)=1,OR($O33=4,$P33=4,$Q33=4,$R33=4,$S33=4,$T33=4)),INT($V33),"x")</f>
        <v>x</v>
      </c>
      <c r="AJ33" s="63">
        <f>IF(AI33="x","",IF(AI33=SMALL($AI$22:$AI$76,1),AI33,""))</f>
      </c>
      <c r="AK33" s="65" t="str">
        <f>IF(AND(COUNT($V33)=1,OR($O33=5,$P33=5,$Q33=5,$R33=5,$S33=5,$T33=5)),INT($V33),"x")</f>
        <v>x</v>
      </c>
      <c r="AL33" s="63">
        <f>IF(AK33="x","",IF(AK33=SMALL($AK$22:$AK$76,1),AK33,""))</f>
      </c>
      <c r="AM33" s="65" t="str">
        <f>IF(AND(COUNT($V33)=1,OR($O33=6,$P33=6,$Q33=6,$R33=6,$S33=6,$T33=6)),INT($V33),"x")</f>
        <v>x</v>
      </c>
      <c r="AN33" s="63">
        <f>IF(AM33="x","",IF(AM33=SMALL($AM$22:$AM$76,1),AM33,""))</f>
      </c>
      <c r="AO33" s="64"/>
      <c r="AP33" s="32"/>
    </row>
    <row r="34" spans="1:40" ht="3.75" customHeight="1">
      <c r="A34" s="366"/>
      <c r="B34" s="32"/>
      <c r="C34" s="3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487"/>
      <c r="W34" s="487"/>
      <c r="X34" s="487"/>
      <c r="Y34" s="67"/>
      <c r="Z34" s="76"/>
      <c r="AA34" s="68"/>
      <c r="AC34" s="69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2" ht="15" customHeight="1">
      <c r="A35" s="366"/>
      <c r="B35" s="32"/>
      <c r="C35" s="367"/>
      <c r="D35" s="32"/>
      <c r="E35" s="55" t="str">
        <f>VLOOKUP("race",'[1]Strings'!$A$3:$K$102,'[1]Strings'!$A$1,FALSE)</f>
        <v>Rennen</v>
      </c>
      <c r="F35" s="55" t="str">
        <f>VLOOKUP("baan / piste",'[1]Strings'!$A$3:$K$102,'[1]Strings'!$A$1,FALSE)</f>
        <v>Bahn</v>
      </c>
      <c r="G35" s="55"/>
      <c r="H35" s="476" t="str">
        <f>VLOOKUP("tegen / contre",'[1]Strings'!$A$3:$K$102,'[1]Strings'!$A$1,FALSE)</f>
        <v>gegen</v>
      </c>
      <c r="I35" s="476"/>
      <c r="J35" s="476"/>
      <c r="K35" s="476"/>
      <c r="L35" s="477"/>
      <c r="M35" s="477" t="str">
        <f>VLOOKUP("heat",'[1]Strings'!$A$3:$K$102,'[1]Strings'!$A$1,FALSE)</f>
        <v>Lauf</v>
      </c>
      <c r="N35" s="477"/>
      <c r="O35" s="476" t="str">
        <f>VLOOKUP("Honden / chiens",'[1]Strings'!$A$3:$K$102,'[1]Strings'!$A$1,FALSE)</f>
        <v>Hunde</v>
      </c>
      <c r="P35" s="476"/>
      <c r="Q35" s="476"/>
      <c r="R35" s="476"/>
      <c r="S35" s="476"/>
      <c r="T35" s="476"/>
      <c r="U35" s="162" t="str">
        <f>VLOOKUP("          Tijd/temps",'[1]Strings'!$A$3:$K$102,'[1]Strings'!$A$1,FALSE)</f>
        <v>           Zeit</v>
      </c>
      <c r="V35" s="163"/>
      <c r="W35" s="163"/>
      <c r="X35" s="163"/>
      <c r="Y35" s="161" t="str">
        <f>VLOOKUP("    W / L / T",'[1]Strings'!$A$3:$K$102,'[1]Strings'!$A$1,FALSE)</f>
        <v>    W/L/T</v>
      </c>
      <c r="Z35" s="55"/>
      <c r="AA35" s="68"/>
      <c r="AB35" s="55"/>
      <c r="AC35" s="70"/>
      <c r="AD35" s="67"/>
      <c r="AE35" s="70"/>
      <c r="AF35" s="67"/>
      <c r="AG35" s="70"/>
      <c r="AH35" s="67"/>
      <c r="AI35" s="70"/>
      <c r="AJ35" s="67"/>
      <c r="AK35" s="70"/>
      <c r="AL35" s="67"/>
      <c r="AM35" s="70"/>
      <c r="AN35" s="67"/>
      <c r="AO35" s="565"/>
      <c r="AP35" s="478"/>
    </row>
    <row r="36" spans="1:42" ht="15" customHeight="1">
      <c r="A36" s="366"/>
      <c r="B36" s="32"/>
      <c r="C36" s="367"/>
      <c r="D36" s="32"/>
      <c r="E36" s="488">
        <f>RR4!C17</f>
        <v>6</v>
      </c>
      <c r="F36" s="59" t="str">
        <f>IF(RR4!E17="rood",VLOOKUP("Rood / Rouge",'[1]Strings'!$A$3:$K$102,'[1]Strings'!$A$1,FALSE),"")</f>
        <v>Rot</v>
      </c>
      <c r="H36" s="478" t="str">
        <f>VLOOKUP(E36&amp;$C$3,RR4!$U$5:$AV$33,28,FALSE)</f>
        <v>Cool Racers</v>
      </c>
      <c r="I36" s="478"/>
      <c r="J36" s="478"/>
      <c r="K36" s="478"/>
      <c r="L36" s="479"/>
      <c r="M36" s="491">
        <v>1</v>
      </c>
      <c r="N36" s="492"/>
      <c r="O36" s="12">
        <v>1</v>
      </c>
      <c r="P36" s="12">
        <v>4</v>
      </c>
      <c r="Q36" s="12">
        <v>5</v>
      </c>
      <c r="R36" s="12">
        <v>6</v>
      </c>
      <c r="S36" s="468"/>
      <c r="T36" s="469"/>
      <c r="U36" s="61">
        <f>IF(V36="","",IF(COUNT(O36:T36)&lt;&gt;4,"X",""))</f>
      </c>
      <c r="V36" s="480">
        <v>55.96</v>
      </c>
      <c r="W36" s="481"/>
      <c r="X36" s="481"/>
      <c r="Y36" s="61">
        <f>IF($V36="","",IF($R$3&gt;$V36,"X",""))</f>
      </c>
      <c r="Z36" s="12" t="s">
        <v>2992</v>
      </c>
      <c r="AA36" s="11">
        <f>IF(OR(AND(V36="",Z36&lt;&gt;""),AND(V36&lt;&gt;"",Z36=""),AND(V36="w",Z36&lt;&gt;"w"),AND(V36="nt",Z36="w"),RR4!F18="x"),"x","")</f>
      </c>
      <c r="AC36" s="62">
        <f>IF(AND(COUNT($V36)=1,OR($O36=1,$P36=1,$Q36=1,$R36=1,$S36=1,$T36=1)),INT($V36),"x")</f>
        <v>55</v>
      </c>
      <c r="AD36" s="63">
        <f>IF(AC36="x","",IF(AC36=SMALL($AC$22:$AC$76,1),AC36,""))</f>
      </c>
      <c r="AE36" s="62" t="str">
        <f>IF(AND(COUNT($V36)=1,OR($O36=2,$P36=2,$Q36=2,$R36=2,$S36=2,$T36=2)),INT($V36),"x")</f>
        <v>x</v>
      </c>
      <c r="AF36" s="63">
        <f>IF(AE36="x","",IF(AE36=SMALL($AE$22:$AE$76,1),AE36,""))</f>
      </c>
      <c r="AG36" s="62" t="str">
        <f>IF(AND(COUNT($V36)=1,OR($O36=3,$P36=3,$Q36=3,$R36=3,$S36=3,$T36=3)),INT($V36),"x")</f>
        <v>x</v>
      </c>
      <c r="AH36" s="63">
        <f>IF(AG36="x","",IF(AG36=SMALL($AG$22:$AG$76,1),AG36,""))</f>
      </c>
      <c r="AI36" s="62">
        <f>IF(AND(COUNT($V36)=1,OR($O36=4,$P36=4,$Q36=4,$R36=4,$S36=4,$T36=4)),INT($V36),"x")</f>
        <v>55</v>
      </c>
      <c r="AJ36" s="63">
        <f>IF(AI36="x","",IF(AI36=SMALL($AI$22:$AI$76,1),AI36,""))</f>
      </c>
      <c r="AK36" s="62">
        <f>IF(AND(COUNT($V36)=1,OR($O36=5,$P36=5,$Q36=5,$R36=5,$S36=5,$T36=5)),INT($V36),"x")</f>
        <v>55</v>
      </c>
      <c r="AL36" s="63">
        <f>IF(AK36="x","",IF(AK36=SMALL($AK$22:$AK$76,1),AK36,""))</f>
      </c>
      <c r="AM36" s="62">
        <f>IF(AND(COUNT($V36)=1,OR($O36=6,$P36=6,$Q36=6,$R36=6,$S36=6,$T36=6)),INT($V36),"x")</f>
        <v>55</v>
      </c>
      <c r="AN36" s="63">
        <f>IF(AM36="x","",IF(AM36=SMALL($AM$22:$AM$76,1),AM36,""))</f>
      </c>
      <c r="AO36" s="64"/>
      <c r="AP36" s="32"/>
    </row>
    <row r="37" spans="1:42" ht="15" customHeight="1">
      <c r="A37" s="366"/>
      <c r="B37" s="32"/>
      <c r="C37" s="367"/>
      <c r="D37" s="32"/>
      <c r="E37" s="489"/>
      <c r="F37" s="59">
        <f>IF(RR4!E17="blauw",VLOOKUP("Blauw / Bleu",'[1]Strings'!$A$3:$K$102,'[1]Strings'!$A$1,FALSE),"")</f>
      </c>
      <c r="H37" s="490">
        <f>IF(OR(U36="x",Y36="x",AA36="x"),"CONTROLEER INVOER       HEAT 1",IF(OR(U37="x",Y37="x",AA37="x"),"CONTROLEER INVOER       HEAT 2",IF(OR(U38="x",Y38="x",AA38="x"),"CONTROLEER INVOER       HEAT 3",IF(OR(U39="x",Y39="x",AA39="x"),"CONTROLEER INVOER       HEAT 4",IF(OR(U40="x",Y40="x",AA40="x"),"CONTROLEER INVOER       HEAT 5","")))))</f>
      </c>
      <c r="I37" s="490"/>
      <c r="J37" s="490"/>
      <c r="K37" s="490"/>
      <c r="L37" s="490"/>
      <c r="M37" s="491">
        <v>2</v>
      </c>
      <c r="N37" s="492"/>
      <c r="O37" s="12">
        <v>1</v>
      </c>
      <c r="P37" s="12">
        <v>4</v>
      </c>
      <c r="Q37" s="12">
        <v>5</v>
      </c>
      <c r="R37" s="12">
        <v>6</v>
      </c>
      <c r="S37" s="468"/>
      <c r="T37" s="469"/>
      <c r="U37" s="61">
        <f>IF(V37="","",IF(COUNT(O37:T37)&lt;&gt;4,"X",""))</f>
      </c>
      <c r="V37" s="480">
        <v>60.46</v>
      </c>
      <c r="W37" s="481"/>
      <c r="X37" s="481"/>
      <c r="Y37" s="61">
        <f>IF($V37="","",IF($R$3&gt;$V37,"X",""))</f>
      </c>
      <c r="Z37" s="12" t="s">
        <v>2992</v>
      </c>
      <c r="AA37" s="11">
        <f>IF(OR(AND(V37="",Z37&lt;&gt;""),AND(V37&lt;&gt;"",Z37=""),AND(V37="w",Z37&lt;&gt;"w"),AND(V37="nt",Z37="w"),RR4!F19="x"),"x","")</f>
      </c>
      <c r="AC37" s="62">
        <f>IF(AND(COUNT($V37)=1,OR($O37=1,$P37=1,$Q37=1,$R37=1,$S37=1,$T37=1)),INT($V37),"x")</f>
        <v>60</v>
      </c>
      <c r="AD37" s="63">
        <f>IF(AC37="x","",IF(AC37=SMALL($AC$22:$AC$76,1),AC37,""))</f>
      </c>
      <c r="AE37" s="62" t="str">
        <f>IF(AND(COUNT($V37)=1,OR($O37=2,$P37=2,$Q37=2,$R37=2,$S37=2,$T37=2)),INT($V37),"x")</f>
        <v>x</v>
      </c>
      <c r="AF37" s="63">
        <f>IF(AE37="x","",IF(AE37=SMALL($AE$22:$AE$76,1),AE37,""))</f>
      </c>
      <c r="AG37" s="62" t="str">
        <f>IF(AND(COUNT($V37)=1,OR($O37=3,$P37=3,$Q37=3,$R37=3,$S37=3,$T37=3)),INT($V37),"x")</f>
        <v>x</v>
      </c>
      <c r="AH37" s="63">
        <f>IF(AG37="x","",IF(AG37=SMALL($AG$22:$AG$76,1),AG37,""))</f>
      </c>
      <c r="AI37" s="62">
        <f>IF(AND(COUNT($V37)=1,OR($O37=4,$P37=4,$Q37=4,$R37=4,$S37=4,$T37=4)),INT($V37),"x")</f>
        <v>60</v>
      </c>
      <c r="AJ37" s="63">
        <f>IF(AI37="x","",IF(AI37=SMALL($AI$22:$AI$76,1),AI37,""))</f>
      </c>
      <c r="AK37" s="62">
        <f>IF(AND(COUNT($V37)=1,OR($O37=5,$P37=5,$Q37=5,$R37=5,$S37=5,$T37=5)),INT($V37),"x")</f>
        <v>60</v>
      </c>
      <c r="AL37" s="63">
        <f>IF(AK37="x","",IF(AK37=SMALL($AK$22:$AK$76,1),AK37,""))</f>
      </c>
      <c r="AM37" s="62">
        <f>IF(AND(COUNT($V37)=1,OR($O37=6,$P37=6,$Q37=6,$R37=6,$S37=6,$T37=6)),INT($V37),"x")</f>
        <v>60</v>
      </c>
      <c r="AN37" s="63">
        <f>IF(AM37="x","",IF(AM37=SMALL($AM$22:$AM$76,1),AM37,""))</f>
      </c>
      <c r="AO37" s="64"/>
      <c r="AP37" s="32"/>
    </row>
    <row r="38" spans="1:42" ht="15" customHeight="1">
      <c r="A38" s="366"/>
      <c r="B38" s="32"/>
      <c r="C38" s="367"/>
      <c r="D38" s="32"/>
      <c r="E38" s="2" t="str">
        <f>uitslagen!$B$2</f>
        <v>RR</v>
      </c>
      <c r="H38" s="490"/>
      <c r="I38" s="490"/>
      <c r="J38" s="490"/>
      <c r="K38" s="490"/>
      <c r="L38" s="490"/>
      <c r="M38" s="491">
        <v>3</v>
      </c>
      <c r="N38" s="492"/>
      <c r="O38" s="12">
        <v>1</v>
      </c>
      <c r="P38" s="12">
        <v>4</v>
      </c>
      <c r="Q38" s="12">
        <v>5</v>
      </c>
      <c r="R38" s="12">
        <v>6</v>
      </c>
      <c r="S38" s="468"/>
      <c r="T38" s="469"/>
      <c r="U38" s="61">
        <f>IF(V38="","",IF(COUNT(O38:T38)&lt;&gt;4,"X",""))</f>
      </c>
      <c r="V38" s="480">
        <v>21.69</v>
      </c>
      <c r="W38" s="481"/>
      <c r="X38" s="481"/>
      <c r="Y38" s="61">
        <f>IF($V38="","",IF($R$3&gt;$V38,"X",""))</f>
      </c>
      <c r="Z38" s="12" t="s">
        <v>2994</v>
      </c>
      <c r="AA38" s="11">
        <f>IF(OR(AND(V38="",Z38&lt;&gt;""),AND(V38&lt;&gt;"",Z38=""),AND(V38="w",Z38&lt;&gt;"w"),AND(V38="nt",Z38="w"),RR4!F20="x"),"x","")</f>
      </c>
      <c r="AC38" s="62">
        <f>IF(AND(COUNT($V38)=1,OR($O38=1,$P38=1,$Q38=1,$R38=1,$S38=1,$T38=1)),INT($V38),"x")</f>
        <v>21</v>
      </c>
      <c r="AD38" s="63">
        <f>IF(AC38="x","",IF(AC38=SMALL($AC$22:$AC$76,1),AC38,""))</f>
      </c>
      <c r="AE38" s="62" t="str">
        <f>IF(AND(COUNT($V38)=1,OR($O38=2,$P38=2,$Q38=2,$R38=2,$S38=2,$T38=2)),INT($V38),"x")</f>
        <v>x</v>
      </c>
      <c r="AF38" s="63">
        <f>IF(AE38="x","",IF(AE38=SMALL($AE$22:$AE$76,1),AE38,""))</f>
      </c>
      <c r="AG38" s="62" t="str">
        <f>IF(AND(COUNT($V38)=1,OR($O38=3,$P38=3,$Q38=3,$R38=3,$S38=3,$T38=3)),INT($V38),"x")</f>
        <v>x</v>
      </c>
      <c r="AH38" s="63">
        <f>IF(AG38="x","",IF(AG38=SMALL($AG$22:$AG$76,1),AG38,""))</f>
      </c>
      <c r="AI38" s="62">
        <f>IF(AND(COUNT($V38)=1,OR($O38=4,$P38=4,$Q38=4,$R38=4,$S38=4,$T38=4)),INT($V38),"x")</f>
        <v>21</v>
      </c>
      <c r="AJ38" s="63">
        <f>IF(AI38="x","",IF(AI38=SMALL($AI$22:$AI$76,1),AI38,""))</f>
      </c>
      <c r="AK38" s="62">
        <f>IF(AND(COUNT($V38)=1,OR($O38=5,$P38=5,$Q38=5,$R38=5,$S38=5,$T38=5)),INT($V38),"x")</f>
        <v>21</v>
      </c>
      <c r="AL38" s="63">
        <f>IF(AK38="x","",IF(AK38=SMALL($AK$22:$AK$76,1),AK38,""))</f>
      </c>
      <c r="AM38" s="62">
        <f>IF(AND(COUNT($V38)=1,OR($O38=6,$P38=6,$Q38=6,$R38=6,$S38=6,$T38=6)),INT($V38),"x")</f>
        <v>21</v>
      </c>
      <c r="AN38" s="63">
        <f>IF(AM38="x","",IF(AM38=SMALL($AM$22:$AM$76,1),AM38,""))</f>
        <v>21</v>
      </c>
      <c r="AO38" s="64"/>
      <c r="AP38" s="32"/>
    </row>
    <row r="39" spans="1:42" ht="15" customHeight="1">
      <c r="A39" s="366"/>
      <c r="B39" s="32"/>
      <c r="C39" s="367"/>
      <c r="D39" s="32"/>
      <c r="H39" s="490"/>
      <c r="I39" s="490"/>
      <c r="J39" s="490"/>
      <c r="K39" s="490"/>
      <c r="L39" s="490"/>
      <c r="M39" s="491">
        <v>4</v>
      </c>
      <c r="N39" s="492"/>
      <c r="O39" s="12">
        <v>1</v>
      </c>
      <c r="P39" s="12">
        <v>4</v>
      </c>
      <c r="Q39" s="12">
        <v>5</v>
      </c>
      <c r="R39" s="12">
        <v>6</v>
      </c>
      <c r="S39" s="468"/>
      <c r="T39" s="469"/>
      <c r="U39" s="61">
        <f>IF(V39="","",IF(COUNT(O39:T39)&lt;&gt;4,"X",""))</f>
      </c>
      <c r="V39" s="480">
        <v>51.8</v>
      </c>
      <c r="W39" s="481"/>
      <c r="X39" s="481"/>
      <c r="Y39" s="61">
        <f>IF($V39="","",IF($R$3&gt;$V39,"X",""))</f>
      </c>
      <c r="Z39" s="12" t="s">
        <v>2992</v>
      </c>
      <c r="AA39" s="11">
        <f>IF(OR(AND(V39="",Z39&lt;&gt;""),AND(V39&lt;&gt;"",Z39=""),AND(V39="w",Z39&lt;&gt;"w"),AND(V39="nt",Z39="w"),RR4!F21="x"),"x","")</f>
      </c>
      <c r="AC39" s="62">
        <f>IF(AND(COUNT($V39)=1,OR($O39=1,$P39=1,$Q39=1,$R39=1,$S39=1,$T39=1)),INT($V39),"x")</f>
        <v>51</v>
      </c>
      <c r="AD39" s="63">
        <f>IF(AC39="x","",IF(AC39=SMALL($AC$22:$AC$76,1),AC39,""))</f>
      </c>
      <c r="AE39" s="62" t="str">
        <f>IF(AND(COUNT($V39)=1,OR($O39=2,$P39=2,$Q39=2,$R39=2,$S39=2,$T39=2)),INT($V39),"x")</f>
        <v>x</v>
      </c>
      <c r="AF39" s="63">
        <f>IF(AE39="x","",IF(AE39=SMALL($AE$22:$AE$76,1),AE39,""))</f>
      </c>
      <c r="AG39" s="62" t="str">
        <f>IF(AND(COUNT($V39)=1,OR($O39=3,$P39=3,$Q39=3,$R39=3,$S39=3,$T39=3)),INT($V39),"x")</f>
        <v>x</v>
      </c>
      <c r="AH39" s="63">
        <f>IF(AG39="x","",IF(AG39=SMALL($AG$22:$AG$76,1),AG39,""))</f>
      </c>
      <c r="AI39" s="62">
        <f>IF(AND(COUNT($V39)=1,OR($O39=4,$P39=4,$Q39=4,$R39=4,$S39=4,$T39=4)),INT($V39),"x")</f>
        <v>51</v>
      </c>
      <c r="AJ39" s="63">
        <f>IF(AI39="x","",IF(AI39=SMALL($AI$22:$AI$76,1),AI39,""))</f>
      </c>
      <c r="AK39" s="62">
        <f>IF(AND(COUNT($V39)=1,OR($O39=5,$P39=5,$Q39=5,$R39=5,$S39=5,$T39=5)),INT($V39),"x")</f>
        <v>51</v>
      </c>
      <c r="AL39" s="63">
        <f>IF(AK39="x","",IF(AK39=SMALL($AK$22:$AK$76,1),AK39,""))</f>
      </c>
      <c r="AM39" s="62">
        <f>IF(AND(COUNT($V39)=1,OR($O39=6,$P39=6,$Q39=6,$R39=6,$S39=6,$T39=6)),INT($V39),"x")</f>
        <v>51</v>
      </c>
      <c r="AN39" s="63">
        <f>IF(AM39="x","",IF(AM39=SMALL($AM$22:$AM$76,1),AM39,""))</f>
      </c>
      <c r="AO39" s="64"/>
      <c r="AP39" s="32"/>
    </row>
    <row r="40" spans="1:42" ht="15" customHeight="1">
      <c r="A40" s="366"/>
      <c r="B40" s="32"/>
      <c r="C40" s="367"/>
      <c r="D40" s="32"/>
      <c r="H40" s="490"/>
      <c r="I40" s="490"/>
      <c r="J40" s="490"/>
      <c r="K40" s="490"/>
      <c r="L40" s="490"/>
      <c r="M40" s="491">
        <v>5</v>
      </c>
      <c r="N40" s="492"/>
      <c r="O40" s="12"/>
      <c r="P40" s="12"/>
      <c r="Q40" s="12"/>
      <c r="R40" s="12"/>
      <c r="S40" s="468"/>
      <c r="T40" s="469"/>
      <c r="U40" s="61">
        <f>IF(V40="","",IF(COUNT(O40:T40)&lt;&gt;4,"X",""))</f>
      </c>
      <c r="V40" s="480"/>
      <c r="W40" s="481"/>
      <c r="X40" s="481"/>
      <c r="Y40" s="61">
        <f>IF($V40="","",IF($R$3&gt;$V40,"X",""))</f>
      </c>
      <c r="Z40" s="12"/>
      <c r="AA40" s="11">
        <f>IF(OR(AND(V40="",Z40&lt;&gt;""),AND(V40&lt;&gt;"",Z40=""),AND(V40="w",Z40&lt;&gt;"w"),AND(V40="nt",Z40="w"),RR4!F22="x"),"x","")</f>
      </c>
      <c r="AC40" s="65" t="str">
        <f>IF(AND(COUNT($V40)=1,OR($O40=1,$P40=1,$Q40=1,$R40=1,$S40=1,$T40=1)),INT($V40),"x")</f>
        <v>x</v>
      </c>
      <c r="AD40" s="66">
        <f>IF(AC40="x","",IF(AC40=SMALL($AC$22:$AC$76,1),AC40,""))</f>
      </c>
      <c r="AE40" s="65" t="str">
        <f>IF(AND(COUNT($V40)=1,OR($O40=2,$P40=2,$Q40=2,$R40=2,$S40=2,$T40=2)),INT($V40),"x")</f>
        <v>x</v>
      </c>
      <c r="AF40" s="63">
        <f>IF(AE40="x","",IF(AE40=SMALL($AE$22:$AE$76,1),AE40,""))</f>
      </c>
      <c r="AG40" s="65" t="str">
        <f>IF(AND(COUNT($V40)=1,OR($O40=3,$P40=3,$Q40=3,$R40=3,$S40=3,$T40=3)),INT($V40),"x")</f>
        <v>x</v>
      </c>
      <c r="AH40" s="63">
        <f>IF(AG40="x","",IF(AG40=SMALL($AG$22:$AG$76,1),AG40,""))</f>
      </c>
      <c r="AI40" s="65" t="str">
        <f>IF(AND(COUNT($V40)=1,OR($O40=4,$P40=4,$Q40=4,$R40=4,$S40=4,$T40=4)),INT($V40),"x")</f>
        <v>x</v>
      </c>
      <c r="AJ40" s="63">
        <f>IF(AI40="x","",IF(AI40=SMALL($AI$22:$AI$76,1),AI40,""))</f>
      </c>
      <c r="AK40" s="65" t="str">
        <f>IF(AND(COUNT($V40)=1,OR($O40=5,$P40=5,$Q40=5,$R40=5,$S40=5,$T40=5)),INT($V40),"x")</f>
        <v>x</v>
      </c>
      <c r="AL40" s="63">
        <f>IF(AK40="x","",IF(AK40=SMALL($AK$22:$AK$76,1),AK40,""))</f>
      </c>
      <c r="AM40" s="65" t="str">
        <f>IF(AND(COUNT($V40)=1,OR($O40=6,$P40=6,$Q40=6,$R40=6,$S40=6,$T40=6)),INT($V40),"x")</f>
        <v>x</v>
      </c>
      <c r="AN40" s="63">
        <f>IF(AM40="x","",IF(AM40=SMALL($AM$22:$AM$76,1),AM40,""))</f>
      </c>
      <c r="AO40" s="64"/>
      <c r="AP40" s="32"/>
    </row>
    <row r="41" spans="1:40" ht="4.5" customHeight="1">
      <c r="A41" s="366"/>
      <c r="B41" s="32"/>
      <c r="C41" s="367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564"/>
      <c r="W41" s="564"/>
      <c r="X41" s="564"/>
      <c r="Y41" s="174"/>
      <c r="Z41" s="175"/>
      <c r="AA41" s="68"/>
      <c r="AC41" s="69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2" ht="15" customHeight="1">
      <c r="A42" s="366"/>
      <c r="B42" s="32"/>
      <c r="C42" s="367"/>
      <c r="D42" s="32"/>
      <c r="E42" s="55" t="str">
        <f>VLOOKUP("race",'[1]Strings'!$A$3:$K$102,'[1]Strings'!$A$1,FALSE)</f>
        <v>Rennen</v>
      </c>
      <c r="F42" s="55" t="str">
        <f>VLOOKUP("baan / piste",'[1]Strings'!$A$3:$K$102,'[1]Strings'!$A$1,FALSE)</f>
        <v>Bahn</v>
      </c>
      <c r="G42" s="55"/>
      <c r="H42" s="476" t="str">
        <f>VLOOKUP("tegen / contre",'[1]Strings'!$A$3:$K$102,'[1]Strings'!$A$1,FALSE)</f>
        <v>gegen</v>
      </c>
      <c r="I42" s="476"/>
      <c r="J42" s="476"/>
      <c r="K42" s="476"/>
      <c r="L42" s="477"/>
      <c r="M42" s="477" t="str">
        <f>VLOOKUP("heat",'[1]Strings'!$A$3:$K$102,'[1]Strings'!$A$1,FALSE)</f>
        <v>Lauf</v>
      </c>
      <c r="N42" s="477"/>
      <c r="O42" s="476" t="str">
        <f>VLOOKUP("Honden / chiens",'[1]Strings'!$A$3:$K$102,'[1]Strings'!$A$1,FALSE)</f>
        <v>Hunde</v>
      </c>
      <c r="P42" s="476"/>
      <c r="Q42" s="476"/>
      <c r="R42" s="476"/>
      <c r="S42" s="476"/>
      <c r="T42" s="476"/>
      <c r="U42" s="162" t="str">
        <f>VLOOKUP("          Tijd/temps",'[1]Strings'!$A$3:$K$102,'[1]Strings'!$A$1,FALSE)</f>
        <v>           Zeit</v>
      </c>
      <c r="V42" s="163"/>
      <c r="W42" s="163"/>
      <c r="X42" s="163"/>
      <c r="Y42" s="161" t="str">
        <f>VLOOKUP("    W / L / T",'[1]Strings'!$A$3:$K$102,'[1]Strings'!$A$1,FALSE)</f>
        <v>    W/L/T</v>
      </c>
      <c r="Z42" s="55"/>
      <c r="AA42" s="68"/>
      <c r="AB42" s="55"/>
      <c r="AC42" s="70"/>
      <c r="AD42" s="67"/>
      <c r="AE42" s="70"/>
      <c r="AF42" s="67"/>
      <c r="AG42" s="70"/>
      <c r="AH42" s="67"/>
      <c r="AI42" s="70"/>
      <c r="AJ42" s="67"/>
      <c r="AK42" s="70"/>
      <c r="AL42" s="67"/>
      <c r="AM42" s="70"/>
      <c r="AN42" s="67"/>
      <c r="AO42" s="565"/>
      <c r="AP42" s="478"/>
    </row>
    <row r="43" spans="1:42" ht="15" customHeight="1">
      <c r="A43" s="366"/>
      <c r="B43" s="32"/>
      <c r="C43" s="367"/>
      <c r="D43" s="32"/>
      <c r="E43" s="488">
        <f>IF(uitslagen!$E$82="","",VLOOKUP(C3,uitslagen!$E$82:$L$90,8,FALSE))</f>
        <v>2</v>
      </c>
      <c r="F43" s="59">
        <f>IF(E43="","",IF(VLOOKUP($C$3&amp;"-"&amp;E43,'DE4'!$S$10:$AS$24,27,FALSE)="Rood",VLOOKUP("Rood / Rouge",'[1]Strings'!$A$3:$K$102,'[1]Strings'!$A$1,FALSE),""))</f>
      </c>
      <c r="G43" s="71">
        <f>IF(E43="","",E43)</f>
        <v>2</v>
      </c>
      <c r="H43" s="478" t="str">
        <f>IF(E43="","",VLOOKUP($C$3&amp;"-"&amp;E43,'DE4'!$S$10:$AR$24,26,FALSE))</f>
        <v>Fast'nFurious Flyballteam</v>
      </c>
      <c r="I43" s="478"/>
      <c r="J43" s="478"/>
      <c r="K43" s="478"/>
      <c r="L43" s="479"/>
      <c r="M43" s="491">
        <v>1</v>
      </c>
      <c r="N43" s="492"/>
      <c r="O43" s="12">
        <v>1</v>
      </c>
      <c r="P43" s="12">
        <v>4</v>
      </c>
      <c r="Q43" s="12">
        <v>5</v>
      </c>
      <c r="R43" s="12">
        <v>6</v>
      </c>
      <c r="S43" s="468"/>
      <c r="T43" s="469"/>
      <c r="U43" s="61">
        <f>IF(V43="","",IF(COUNT(O43:T43)&lt;&gt;4,"X",""))</f>
      </c>
      <c r="V43" s="480" t="s">
        <v>2993</v>
      </c>
      <c r="W43" s="481"/>
      <c r="X43" s="481"/>
      <c r="Y43" s="61">
        <f>IF($V43="","",IF($R$3&gt;$V43,"X",""))</f>
      </c>
      <c r="Z43" s="12" t="s">
        <v>2994</v>
      </c>
      <c r="AA43" s="11">
        <f>IF(G43="","",IF(OR(AND(V43="",Z43&lt;&gt;""),AND(V43&lt;&gt;"",Z43=""),AND(V43="w",Z43&lt;&gt;"w"),AND(V43="nt",Z43="w"),VLOOKUP($C$3&amp;"-"&amp;G43,'DE4'!$S$10:$AM$24,M43+16,FALSE)="x"),"x",""))</f>
      </c>
      <c r="AC43" s="62" t="str">
        <f>IF(AND(COUNT($V43)=1,OR($O43=1,$P43=1,$Q43=1,$R43=1,$S43=1,$T43=1)),INT($V43),"x")</f>
        <v>x</v>
      </c>
      <c r="AD43" s="63">
        <f>IF(AC43="x","",IF(AC43=SMALL($AC$22:$AC$76,1),AC43,""))</f>
      </c>
      <c r="AE43" s="62" t="str">
        <f>IF(AND(COUNT($V43)=1,OR($O43=2,$P43=2,$Q43=2,$R43=2,$S43=2,$T43=2)),INT($V43),"x")</f>
        <v>x</v>
      </c>
      <c r="AF43" s="63">
        <f>IF(AE43="x","",IF(AE43=SMALL($AE$22:$AE$76,1),AE43,""))</f>
      </c>
      <c r="AG43" s="62" t="str">
        <f>IF(AND(COUNT($V43)=1,OR($O43=3,$P43=3,$Q43=3,$R43=3,$S43=3,$T43=3)),INT($V43),"x")</f>
        <v>x</v>
      </c>
      <c r="AH43" s="63">
        <f>IF(AG43="x","",IF(AG43=SMALL($AG$22:$AG$76,1),AG43,""))</f>
      </c>
      <c r="AI43" s="62" t="str">
        <f>IF(AND(COUNT($V43)=1,OR($O43=4,$P43=4,$Q43=4,$R43=4,$S43=4,$T43=4)),INT($V43),"x")</f>
        <v>x</v>
      </c>
      <c r="AJ43" s="63">
        <f>IF(AI43="x","",IF(AI43=SMALL($AI$22:$AI$76,1),AI43,""))</f>
      </c>
      <c r="AK43" s="62" t="str">
        <f>IF(AND(COUNT($V43)=1,OR($O43=5,$P43=5,$Q43=5,$R43=5,$S43=5,$T43=5)),INT($V43),"x")</f>
        <v>x</v>
      </c>
      <c r="AL43" s="63">
        <f>IF(AK43="x","",IF(AK43=SMALL($AK$22:$AK$76,1),AK43,""))</f>
      </c>
      <c r="AM43" s="62" t="str">
        <f>IF(AND(COUNT($V43)=1,OR($O43=6,$P43=6,$Q43=6,$R43=6,$S43=6,$T43=6)),INT($V43),"x")</f>
        <v>x</v>
      </c>
      <c r="AN43" s="63">
        <f>IF(AM43="x","",IF(AM43=SMALL($AM$22:$AM$76,1),AM43,""))</f>
      </c>
      <c r="AO43" s="64"/>
      <c r="AP43" s="32"/>
    </row>
    <row r="44" spans="1:42" ht="15" customHeight="1">
      <c r="A44" s="366"/>
      <c r="B44" s="32"/>
      <c r="C44" s="367"/>
      <c r="D44" s="32"/>
      <c r="E44" s="489"/>
      <c r="F44" s="59" t="str">
        <f>IF(E43="","",IF(VLOOKUP($C$3&amp;"-"&amp;E43,'DE4'!$S$10:$AS$24,27,FALSE)="Blauw",VLOOKUP("Blauw / Bleu",'[1]Strings'!$A$3:$K$102,'[1]Strings'!$A$1,FALSE),""))</f>
        <v>Blau</v>
      </c>
      <c r="G44" s="71">
        <f>IF(E43="","",E43)</f>
        <v>2</v>
      </c>
      <c r="H44" s="490">
        <f>IF(OR(U43="x",Y43="x",AA43="x"),"CONTROLEER INVOER       HEAT 1",IF(OR(U44="x",Y44="x",AA44="x"),"CONTROLEER INVOER       HEAT 2",IF(OR(U45="x",Y45="x",AA45="x"),"CONTROLEER INVOER       HEAT 3",IF(OR(U46="x",Y46="x",AA46="x"),"CONTROLEER INVOER       HEAT 4",IF(OR(U47="x",Y47="x",AA47="x"),"CONTROLEER INVOER       HEAT 5","")))))</f>
      </c>
      <c r="I44" s="490"/>
      <c r="J44" s="490"/>
      <c r="K44" s="490"/>
      <c r="L44" s="490"/>
      <c r="M44" s="491">
        <v>2</v>
      </c>
      <c r="N44" s="492"/>
      <c r="O44" s="12">
        <v>1</v>
      </c>
      <c r="P44" s="12">
        <v>4</v>
      </c>
      <c r="Q44" s="12">
        <v>6</v>
      </c>
      <c r="R44" s="12">
        <v>5</v>
      </c>
      <c r="S44" s="468"/>
      <c r="T44" s="469"/>
      <c r="U44" s="61">
        <f>IF(V44="","",IF(COUNT(O44:T44)&lt;&gt;4,"X",""))</f>
      </c>
      <c r="V44" s="480" t="s">
        <v>2993</v>
      </c>
      <c r="W44" s="481"/>
      <c r="X44" s="481"/>
      <c r="Y44" s="61">
        <f>IF($V44="","",IF($R$3&gt;$V44,"X",""))</f>
      </c>
      <c r="Z44" s="12" t="s">
        <v>2994</v>
      </c>
      <c r="AA44" s="11">
        <f>IF(G44="","",IF(OR(AND(V44="",Z44&lt;&gt;""),AND(V44&lt;&gt;"",Z44=""),AND(V44="w",Z44&lt;&gt;"w"),AND(V44="nt",Z44="w"),VLOOKUP($C$3&amp;"-"&amp;G44,'DE4'!$S$10:$AM$24,M44+16,FALSE)="x"),"x",""))</f>
      </c>
      <c r="AC44" s="62" t="str">
        <f>IF(AND(COUNT($V44)=1,OR($O44=1,$P44=1,$Q44=1,$R44=1,$S44=1,$T44=1)),INT($V44),"x")</f>
        <v>x</v>
      </c>
      <c r="AD44" s="63">
        <f>IF(AC44="x","",IF(AC44=SMALL($AC$22:$AC$76,1),AC44,""))</f>
      </c>
      <c r="AE44" s="62" t="str">
        <f>IF(AND(COUNT($V44)=1,OR($O44=2,$P44=2,$Q44=2,$R44=2,$S44=2,$T44=2)),INT($V44),"x")</f>
        <v>x</v>
      </c>
      <c r="AF44" s="63">
        <f>IF(AE44="x","",IF(AE44=SMALL($AE$22:$AE$76,1),AE44,""))</f>
      </c>
      <c r="AG44" s="62" t="str">
        <f>IF(AND(COUNT($V44)=1,OR($O44=3,$P44=3,$Q44=3,$R44=3,$S44=3,$T44=3)),INT($V44),"x")</f>
        <v>x</v>
      </c>
      <c r="AH44" s="63">
        <f>IF(AG44="x","",IF(AG44=SMALL($AG$22:$AG$76,1),AG44,""))</f>
      </c>
      <c r="AI44" s="62" t="str">
        <f>IF(AND(COUNT($V44)=1,OR($O44=4,$P44=4,$Q44=4,$R44=4,$S44=4,$T44=4)),INT($V44),"x")</f>
        <v>x</v>
      </c>
      <c r="AJ44" s="63">
        <f>IF(AI44="x","",IF(AI44=SMALL($AI$22:$AI$76,1),AI44,""))</f>
      </c>
      <c r="AK44" s="62" t="str">
        <f>IF(AND(COUNT($V44)=1,OR($O44=5,$P44=5,$Q44=5,$R44=5,$S44=5,$T44=5)),INT($V44),"x")</f>
        <v>x</v>
      </c>
      <c r="AL44" s="63">
        <f>IF(AK44="x","",IF(AK44=SMALL($AK$22:$AK$76,1),AK44,""))</f>
      </c>
      <c r="AM44" s="62" t="str">
        <f>IF(AND(COUNT($V44)=1,OR($O44=6,$P44=6,$Q44=6,$R44=6,$S44=6,$T44=6)),INT($V44),"x")</f>
        <v>x</v>
      </c>
      <c r="AN44" s="63">
        <f>IF(AM44="x","",IF(AM44=SMALL($AM$22:$AM$76,1),AM44,""))</f>
      </c>
      <c r="AO44" s="64"/>
      <c r="AP44" s="32"/>
    </row>
    <row r="45" spans="1:42" ht="15" customHeight="1">
      <c r="A45" s="366"/>
      <c r="B45" s="32"/>
      <c r="C45" s="367"/>
      <c r="D45" s="32"/>
      <c r="E45" s="2" t="str">
        <f>IF(E43="","",uitslagen!$B$49)</f>
        <v>DE</v>
      </c>
      <c r="F45" s="59"/>
      <c r="G45" s="71">
        <f>IF(E43="","",E43)</f>
        <v>2</v>
      </c>
      <c r="H45" s="490"/>
      <c r="I45" s="490"/>
      <c r="J45" s="490"/>
      <c r="K45" s="490"/>
      <c r="L45" s="490"/>
      <c r="M45" s="491">
        <v>3</v>
      </c>
      <c r="N45" s="492"/>
      <c r="O45" s="12">
        <v>1</v>
      </c>
      <c r="P45" s="12">
        <v>4</v>
      </c>
      <c r="Q45" s="12">
        <v>6</v>
      </c>
      <c r="R45" s="12">
        <v>5</v>
      </c>
      <c r="S45" s="468"/>
      <c r="T45" s="469"/>
      <c r="U45" s="61">
        <f>IF(V45="","",IF(COUNT(O45:T45)&lt;&gt;4,"X",""))</f>
      </c>
      <c r="V45" s="480" t="s">
        <v>2993</v>
      </c>
      <c r="W45" s="481"/>
      <c r="X45" s="481"/>
      <c r="Y45" s="61">
        <f>IF($V45="","",IF($R$3&gt;$V45,"X",""))</f>
      </c>
      <c r="Z45" s="12" t="s">
        <v>2994</v>
      </c>
      <c r="AA45" s="11">
        <f>IF(G45="","",IF(OR(AND(V45="",Z45&lt;&gt;""),AND(V45&lt;&gt;"",Z45=""),AND(V45="w",Z45&lt;&gt;"w"),AND(V45="nt",Z45="w"),VLOOKUP($C$3&amp;"-"&amp;G45,'DE4'!$S$10:$AM$24,M45+16,FALSE)="x"),"x",""))</f>
      </c>
      <c r="AC45" s="62" t="str">
        <f>IF(AND(COUNT($V45)=1,OR($O45=1,$P45=1,$Q45=1,$R45=1,$S45=1,$T45=1)),INT($V45),"x")</f>
        <v>x</v>
      </c>
      <c r="AD45" s="63">
        <f>IF(AC45="x","",IF(AC45=SMALL($AC$22:$AC$76,1),AC45,""))</f>
      </c>
      <c r="AE45" s="62" t="str">
        <f>IF(AND(COUNT($V45)=1,OR($O45=2,$P45=2,$Q45=2,$R45=2,$S45=2,$T45=2)),INT($V45),"x")</f>
        <v>x</v>
      </c>
      <c r="AF45" s="63">
        <f>IF(AE45="x","",IF(AE45=SMALL($AE$22:$AE$76,1),AE45,""))</f>
      </c>
      <c r="AG45" s="62" t="str">
        <f>IF(AND(COUNT($V45)=1,OR($O45=3,$P45=3,$Q45=3,$R45=3,$S45=3,$T45=3)),INT($V45),"x")</f>
        <v>x</v>
      </c>
      <c r="AH45" s="63">
        <f>IF(AG45="x","",IF(AG45=SMALL($AG$22:$AG$76,1),AG45,""))</f>
      </c>
      <c r="AI45" s="62" t="str">
        <f>IF(AND(COUNT($V45)=1,OR($O45=4,$P45=4,$Q45=4,$R45=4,$S45=4,$T45=4)),INT($V45),"x")</f>
        <v>x</v>
      </c>
      <c r="AJ45" s="63">
        <f>IF(AI45="x","",IF(AI45=SMALL($AI$22:$AI$76,1),AI45,""))</f>
      </c>
      <c r="AK45" s="62" t="str">
        <f>IF(AND(COUNT($V45)=1,OR($O45=5,$P45=5,$Q45=5,$R45=5,$S45=5,$T45=5)),INT($V45),"x")</f>
        <v>x</v>
      </c>
      <c r="AL45" s="63">
        <f>IF(AK45="x","",IF(AK45=SMALL($AK$22:$AK$76,1),AK45,""))</f>
      </c>
      <c r="AM45" s="62" t="str">
        <f>IF(AND(COUNT($V45)=1,OR($O45=6,$P45=6,$Q45=6,$R45=6,$S45=6,$T45=6)),INT($V45),"x")</f>
        <v>x</v>
      </c>
      <c r="AN45" s="63">
        <f>IF(AM45="x","",IF(AM45=SMALL($AM$22:$AM$76,1),AM45,""))</f>
      </c>
      <c r="AO45" s="64"/>
      <c r="AP45" s="32"/>
    </row>
    <row r="46" spans="1:42" ht="15" customHeight="1">
      <c r="A46" s="366"/>
      <c r="B46" s="32"/>
      <c r="C46" s="367"/>
      <c r="D46" s="32"/>
      <c r="E46" s="71">
        <f>IF(OR(COUNTIF(Z43:Z47,"w")=uitslagen!$H$49,MID(E43,1,1)="T"),2,IF(COUNTIF(Z43:Z47,"l")=uitslagen!$H$49,3,""))</f>
        <v>3</v>
      </c>
      <c r="G46" s="71">
        <f>IF(E43="","",E43)</f>
        <v>2</v>
      </c>
      <c r="H46" s="490"/>
      <c r="I46" s="490"/>
      <c r="J46" s="490"/>
      <c r="K46" s="490"/>
      <c r="L46" s="490"/>
      <c r="M46" s="491">
        <v>4</v>
      </c>
      <c r="N46" s="492"/>
      <c r="O46" s="12"/>
      <c r="P46" s="12"/>
      <c r="Q46" s="12"/>
      <c r="R46" s="12"/>
      <c r="S46" s="468"/>
      <c r="T46" s="469"/>
      <c r="U46" s="61">
        <f>IF(V46="","",IF(COUNT(O46:T46)&lt;&gt;4,"X",""))</f>
      </c>
      <c r="V46" s="480"/>
      <c r="W46" s="481"/>
      <c r="X46" s="481"/>
      <c r="Y46" s="61">
        <f>IF($V46="","",IF($R$3&gt;$V46,"X",""))</f>
      </c>
      <c r="Z46" s="12"/>
      <c r="AA46" s="11">
        <f>IF(G46="","",IF(OR(AND(V46="",Z46&lt;&gt;""),AND(V46&lt;&gt;"",Z46=""),AND(V46="w",Z46&lt;&gt;"w"),AND(V46="nt",Z46="w"),VLOOKUP($C$3&amp;"-"&amp;G46,'DE4'!$S$10:$AM$24,M46+16,FALSE)="x"),"x",""))</f>
      </c>
      <c r="AC46" s="62" t="str">
        <f>IF(AND(COUNT($V46)=1,OR($O46=1,$P46=1,$Q46=1,$R46=1,$S46=1,$T46=1)),INT($V46),"x")</f>
        <v>x</v>
      </c>
      <c r="AD46" s="63">
        <f>IF(AC46="x","",IF(AC46=SMALL($AC$22:$AC$76,1),AC46,""))</f>
      </c>
      <c r="AE46" s="62" t="str">
        <f>IF(AND(COUNT($V46)=1,OR($O46=2,$P46=2,$Q46=2,$R46=2,$S46=2,$T46=2)),INT($V46),"x")</f>
        <v>x</v>
      </c>
      <c r="AF46" s="63">
        <f>IF(AE46="x","",IF(AE46=SMALL($AE$22:$AE$76,1),AE46,""))</f>
      </c>
      <c r="AG46" s="62" t="str">
        <f>IF(AND(COUNT($V46)=1,OR($O46=3,$P46=3,$Q46=3,$R46=3,$S46=3,$T46=3)),INT($V46),"x")</f>
        <v>x</v>
      </c>
      <c r="AH46" s="63">
        <f>IF(AG46="x","",IF(AG46=SMALL($AG$22:$AG$76,1),AG46,""))</f>
      </c>
      <c r="AI46" s="62" t="str">
        <f>IF(AND(COUNT($V46)=1,OR($O46=4,$P46=4,$Q46=4,$R46=4,$S46=4,$T46=4)),INT($V46),"x")</f>
        <v>x</v>
      </c>
      <c r="AJ46" s="63">
        <f>IF(AI46="x","",IF(AI46=SMALL($AI$22:$AI$76,1),AI46,""))</f>
      </c>
      <c r="AK46" s="62" t="str">
        <f>IF(AND(COUNT($V46)=1,OR($O46=5,$P46=5,$Q46=5,$R46=5,$S46=5,$T46=5)),INT($V46),"x")</f>
        <v>x</v>
      </c>
      <c r="AL46" s="63">
        <f>IF(AK46="x","",IF(AK46=SMALL($AK$22:$AK$76,1),AK46,""))</f>
      </c>
      <c r="AM46" s="62" t="str">
        <f>IF(AND(COUNT($V46)=1,OR($O46=6,$P46=6,$Q46=6,$R46=6,$S46=6,$T46=6)),INT($V46),"x")</f>
        <v>x</v>
      </c>
      <c r="AN46" s="63">
        <f>IF(AM46="x","",IF(AM46=SMALL($AM$22:$AM$76,1),AM46,""))</f>
      </c>
      <c r="AO46" s="64"/>
      <c r="AP46" s="32"/>
    </row>
    <row r="47" spans="1:42" ht="15" customHeight="1">
      <c r="A47" s="366"/>
      <c r="B47" s="32"/>
      <c r="C47" s="367"/>
      <c r="D47" s="32"/>
      <c r="E47" s="72">
        <f>IF(E43=16,"FINALE",IF(E43=17,"FINALE  Herkansing",""))</f>
      </c>
      <c r="G47" s="71">
        <f>IF(E43="","",E43)</f>
        <v>2</v>
      </c>
      <c r="H47" s="490"/>
      <c r="I47" s="490"/>
      <c r="J47" s="490"/>
      <c r="K47" s="490"/>
      <c r="L47" s="490"/>
      <c r="M47" s="491">
        <v>5</v>
      </c>
      <c r="N47" s="492"/>
      <c r="O47" s="12"/>
      <c r="P47" s="12"/>
      <c r="Q47" s="12"/>
      <c r="R47" s="12"/>
      <c r="S47" s="468"/>
      <c r="T47" s="469"/>
      <c r="U47" s="61">
        <f>IF(V47="","",IF(COUNT(O47:T47)&lt;&gt;4,"X",""))</f>
      </c>
      <c r="V47" s="480"/>
      <c r="W47" s="481"/>
      <c r="X47" s="481"/>
      <c r="Y47" s="61">
        <f>IF($V47="","",IF($R$3&gt;$V47,"X",""))</f>
      </c>
      <c r="Z47" s="12"/>
      <c r="AA47" s="11">
        <f>IF(G47="","",IF(OR(AND(V47="",Z47&lt;&gt;""),AND(V47&lt;&gt;"",Z47=""),AND(V47="w",Z47&lt;&gt;"w"),AND(V47="nt",Z47="w"),VLOOKUP($C$3&amp;"-"&amp;G47,'DE4'!$S$10:$AM$24,M47+16,FALSE)="x"),"x",""))</f>
      </c>
      <c r="AC47" s="65" t="str">
        <f>IF(AND(COUNT($V47)=1,OR($O47=1,$P47=1,$Q47=1,$R47=1,$S47=1,$T47=1)),INT($V47),"x")</f>
        <v>x</v>
      </c>
      <c r="AD47" s="66">
        <f>IF(AC47="x","",IF(AC47=SMALL($AC$22:$AC$76,1),AC47,""))</f>
      </c>
      <c r="AE47" s="65" t="str">
        <f>IF(AND(COUNT($V47)=1,OR($O47=2,$P47=2,$Q47=2,$R47=2,$S47=2,$T47=2)),INT($V47),"x")</f>
        <v>x</v>
      </c>
      <c r="AF47" s="63">
        <f>IF(AE47="x","",IF(AE47=SMALL($AE$22:$AE$76,1),AE47,""))</f>
      </c>
      <c r="AG47" s="65" t="str">
        <f>IF(AND(COUNT($V47)=1,OR($O47=3,$P47=3,$Q47=3,$R47=3,$S47=3,$T47=3)),INT($V47),"x")</f>
        <v>x</v>
      </c>
      <c r="AH47" s="63">
        <f>IF(AG47="x","",IF(AG47=SMALL($AG$22:$AG$76,1),AG47,""))</f>
      </c>
      <c r="AI47" s="65" t="str">
        <f>IF(AND(COUNT($V47)=1,OR($O47=4,$P47=4,$Q47=4,$R47=4,$S47=4,$T47=4)),INT($V47),"x")</f>
        <v>x</v>
      </c>
      <c r="AJ47" s="63">
        <f>IF(AI47="x","",IF(AI47=SMALL($AI$22:$AI$76,1),AI47,""))</f>
      </c>
      <c r="AK47" s="65" t="str">
        <f>IF(AND(COUNT($V47)=1,OR($O47=5,$P47=5,$Q47=5,$R47=5,$S47=5,$T47=5)),INT($V47),"x")</f>
        <v>x</v>
      </c>
      <c r="AL47" s="63">
        <f>IF(AK47="x","",IF(AK47=SMALL($AK$22:$AK$76,1),AK47,""))</f>
      </c>
      <c r="AM47" s="65" t="str">
        <f>IF(AND(COUNT($V47)=1,OR($O47=6,$P47=6,$Q47=6,$R47=6,$S47=6,$T47=6)),INT($V47),"x")</f>
        <v>x</v>
      </c>
      <c r="AN47" s="63">
        <f>IF(AM47="x","",IF(AM47=SMALL($AM$22:$AM$76,1),AM47,""))</f>
      </c>
      <c r="AO47" s="64"/>
      <c r="AP47" s="32"/>
    </row>
    <row r="48" spans="1:40" ht="3.75" customHeight="1">
      <c r="A48" s="366"/>
      <c r="B48" s="32"/>
      <c r="C48" s="367"/>
      <c r="E48" s="67"/>
      <c r="F48" s="67"/>
      <c r="G48" s="73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487"/>
      <c r="W48" s="487"/>
      <c r="X48" s="487"/>
      <c r="Y48" s="67"/>
      <c r="Z48" s="76"/>
      <c r="AA48" s="68"/>
      <c r="AC48" s="69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2" ht="15" customHeight="1">
      <c r="A49" s="366"/>
      <c r="B49" s="32"/>
      <c r="C49" s="367"/>
      <c r="D49" s="32"/>
      <c r="E49" s="55" t="str">
        <f>VLOOKUP("race",'[1]Strings'!$A$3:$K$102,'[1]Strings'!$A$1,FALSE)</f>
        <v>Rennen</v>
      </c>
      <c r="F49" s="55" t="str">
        <f>VLOOKUP("baan / piste",'[1]Strings'!$A$3:$K$102,'[1]Strings'!$A$1,FALSE)</f>
        <v>Bahn</v>
      </c>
      <c r="G49" s="55"/>
      <c r="H49" s="476" t="str">
        <f>VLOOKUP("tegen / contre",'[1]Strings'!$A$3:$K$102,'[1]Strings'!$A$1,FALSE)</f>
        <v>gegen</v>
      </c>
      <c r="I49" s="476"/>
      <c r="J49" s="476"/>
      <c r="K49" s="476"/>
      <c r="L49" s="477"/>
      <c r="M49" s="477" t="str">
        <f>VLOOKUP("heat",'[1]Strings'!$A$3:$K$102,'[1]Strings'!$A$1,FALSE)</f>
        <v>Lauf</v>
      </c>
      <c r="N49" s="477"/>
      <c r="O49" s="476" t="str">
        <f>VLOOKUP("Honden / chiens",'[1]Strings'!$A$3:$K$102,'[1]Strings'!$A$1,FALSE)</f>
        <v>Hunde</v>
      </c>
      <c r="P49" s="476"/>
      <c r="Q49" s="476"/>
      <c r="R49" s="476"/>
      <c r="S49" s="476"/>
      <c r="T49" s="476"/>
      <c r="U49" s="162" t="str">
        <f>VLOOKUP("          Tijd/temps",'[1]Strings'!$A$3:$K$102,'[1]Strings'!$A$1,FALSE)</f>
        <v>           Zeit</v>
      </c>
      <c r="V49" s="163"/>
      <c r="W49" s="163"/>
      <c r="X49" s="163"/>
      <c r="Y49" s="161" t="str">
        <f>VLOOKUP("    W / L / T",'[1]Strings'!$A$3:$K$102,'[1]Strings'!$A$1,FALSE)</f>
        <v>    W/L/T</v>
      </c>
      <c r="Z49" s="55"/>
      <c r="AA49" s="68"/>
      <c r="AB49" s="55"/>
      <c r="AC49" s="70"/>
      <c r="AD49" s="67"/>
      <c r="AE49" s="70"/>
      <c r="AF49" s="67"/>
      <c r="AG49" s="70"/>
      <c r="AH49" s="67"/>
      <c r="AI49" s="70"/>
      <c r="AJ49" s="67"/>
      <c r="AK49" s="70"/>
      <c r="AL49" s="67"/>
      <c r="AM49" s="70"/>
      <c r="AN49" s="67"/>
      <c r="AO49" s="565"/>
      <c r="AP49" s="478"/>
    </row>
    <row r="50" spans="1:42" ht="15" customHeight="1">
      <c r="A50" s="366"/>
      <c r="B50" s="32"/>
      <c r="C50" s="367"/>
      <c r="D50" s="32"/>
      <c r="E50" s="488">
        <f>IF(OR(E46="",E43=""),"",VLOOKUP(E48&amp;"-"&amp;E43,'DE4'!$AX$10:$AZ$25,E46,FALSE))</f>
        <v>4</v>
      </c>
      <c r="F50" s="59">
        <f>IF(E50="","",IF(VLOOKUP($C$3&amp;"-"&amp;E50,'DE4'!$S$10:$AS$24,27,FALSE)="Rood",VLOOKUP("Rood / Rouge",'[1]Strings'!$A$3:$K$102,'[1]Strings'!$A$1,FALSE),""))</f>
      </c>
      <c r="G50" s="71">
        <f>IF(E50="","",E50)</f>
        <v>4</v>
      </c>
      <c r="H50" s="478" t="str">
        <f>IF(E50="","",VLOOKUP($C$3&amp;"-"&amp;E50,'DE4'!$S$10:$AR$24,26,FALSE))</f>
        <v>Flying Stars</v>
      </c>
      <c r="I50" s="478"/>
      <c r="J50" s="478"/>
      <c r="K50" s="478"/>
      <c r="L50" s="479"/>
      <c r="M50" s="491">
        <v>1</v>
      </c>
      <c r="N50" s="492"/>
      <c r="O50" s="12">
        <v>1</v>
      </c>
      <c r="P50" s="12">
        <v>2</v>
      </c>
      <c r="Q50" s="12">
        <v>3</v>
      </c>
      <c r="R50" s="12">
        <v>4</v>
      </c>
      <c r="S50" s="468"/>
      <c r="T50" s="469"/>
      <c r="U50" s="61">
        <f>IF(V50="","",IF(COUNT(O50:T50)&lt;&gt;4,"X",""))</f>
      </c>
      <c r="V50" s="480">
        <v>19.98</v>
      </c>
      <c r="W50" s="481"/>
      <c r="X50" s="481"/>
      <c r="Y50" s="61">
        <f>IF($V50="","",IF($R$3&gt;$V50,"X",""))</f>
      </c>
      <c r="Z50" s="12" t="s">
        <v>2992</v>
      </c>
      <c r="AA50" s="11">
        <f>IF(G50="","",IF(OR(AND(V50="",Z50&lt;&gt;""),AND(V50&lt;&gt;"",Z50=""),AND(V50="w",Z50&lt;&gt;"w"),AND(V50="nt",Z50="w"),VLOOKUP($C$3&amp;"-"&amp;G50,'DE4'!$S$10:$AM$24,M50+16,FALSE)="x"),"x",""))</f>
      </c>
      <c r="AC50" s="62">
        <f>IF(AND(COUNT($V50)=1,OR($O50=1,$P50=1,$Q50=1,$R50=1,$S50=1,$T50=1)),INT($V50),"x")</f>
        <v>19</v>
      </c>
      <c r="AD50" s="63">
        <f>IF(AC50="x","",IF(AC50=SMALL($AC$22:$AC$76,1),AC50,""))</f>
        <v>19</v>
      </c>
      <c r="AE50" s="62">
        <f>IF(AND(COUNT($V50)=1,OR($O50=2,$P50=2,$Q50=2,$R50=2,$S50=2,$T50=2)),INT($V50),"x")</f>
        <v>19</v>
      </c>
      <c r="AF50" s="63">
        <f>IF(AE50="x","",IF(AE50=SMALL($AE$22:$AE$76,1),AE50,""))</f>
        <v>19</v>
      </c>
      <c r="AG50" s="62">
        <f>IF(AND(COUNT($V50)=1,OR($O50=3,$P50=3,$Q50=3,$R50=3,$S50=3,$T50=3)),INT($V50),"x")</f>
        <v>19</v>
      </c>
      <c r="AH50" s="63">
        <f>IF(AG50="x","",IF(AG50=SMALL($AG$22:$AG$76,1),AG50,""))</f>
        <v>19</v>
      </c>
      <c r="AI50" s="62">
        <f>IF(AND(COUNT($V50)=1,OR($O50=4,$P50=4,$Q50=4,$R50=4,$S50=4,$T50=4)),INT($V50),"x")</f>
        <v>19</v>
      </c>
      <c r="AJ50" s="63">
        <f>IF(AI50="x","",IF(AI50=SMALL($AI$22:$AI$76,1),AI50,""))</f>
        <v>19</v>
      </c>
      <c r="AK50" s="62" t="str">
        <f>IF(AND(COUNT($V50)=1,OR($O50=5,$P50=5,$Q50=5,$R50=5,$S50=5,$T50=5)),INT($V50),"x")</f>
        <v>x</v>
      </c>
      <c r="AL50" s="63">
        <f>IF(AK50="x","",IF(AK50=SMALL($AK$22:$AK$76,1),AK50,""))</f>
      </c>
      <c r="AM50" s="62" t="str">
        <f>IF(AND(COUNT($V50)=1,OR($O50=6,$P50=6,$Q50=6,$R50=6,$S50=6,$T50=6)),INT($V50),"x")</f>
        <v>x</v>
      </c>
      <c r="AN50" s="63">
        <f>IF(AM50="x","",IF(AM50=SMALL($AM$22:$AM$76,1),AM50,""))</f>
      </c>
      <c r="AO50" s="64"/>
      <c r="AP50" s="32"/>
    </row>
    <row r="51" spans="1:42" ht="15" customHeight="1">
      <c r="A51" s="366"/>
      <c r="B51" s="32"/>
      <c r="C51" s="367"/>
      <c r="D51" s="32"/>
      <c r="E51" s="489"/>
      <c r="F51" s="59" t="str">
        <f>IF(E50="","",IF(VLOOKUP($C$3&amp;"-"&amp;E50,'DE4'!$S$10:$AS$24,27,FALSE)="Blauw",VLOOKUP("Blauw / Bleu",'[1]Strings'!$A$3:$K$102,'[1]Strings'!$A$1,FALSE),""))</f>
        <v>Blau</v>
      </c>
      <c r="G51" s="71">
        <f>IF(E50="","",E50)</f>
        <v>4</v>
      </c>
      <c r="H51" s="490">
        <f>IF(OR(U50="x",Y50="x",AA50="x"),"CONTROLEER INVOER       HEAT 1",IF(OR(U51="x",Y51="x",AA51="x"),"CONTROLEER INVOER       HEAT 2",IF(OR(U52="x",Y52="x",AA52="x"),"CONTROLEER INVOER       HEAT 3",IF(OR(U53="x",Y53="x",AA53="x"),"CONTROLEER INVOER       HEAT 4",IF(OR(U54="x",Y54="x",AA54="x"),"CONTROLEER INVOER       HEAT 5","")))))</f>
      </c>
      <c r="I51" s="490"/>
      <c r="J51" s="490"/>
      <c r="K51" s="490"/>
      <c r="L51" s="490"/>
      <c r="M51" s="491">
        <v>2</v>
      </c>
      <c r="N51" s="492"/>
      <c r="O51" s="12">
        <v>1</v>
      </c>
      <c r="P51" s="12">
        <v>2</v>
      </c>
      <c r="Q51" s="12">
        <v>3</v>
      </c>
      <c r="R51" s="12">
        <v>4</v>
      </c>
      <c r="S51" s="468"/>
      <c r="T51" s="469"/>
      <c r="U51" s="61">
        <f>IF(V51="","",IF(COUNT(O51:T51)&lt;&gt;4,"X",""))</f>
      </c>
      <c r="V51" s="480" t="s">
        <v>2993</v>
      </c>
      <c r="W51" s="481"/>
      <c r="X51" s="481"/>
      <c r="Y51" s="61">
        <f>IF($V51="","",IF($R$3&gt;$V51,"X",""))</f>
      </c>
      <c r="Z51" s="12" t="s">
        <v>2994</v>
      </c>
      <c r="AA51" s="11">
        <f>IF(G51="","",IF(OR(AND(V51="",Z51&lt;&gt;""),AND(V51&lt;&gt;"",Z51=""),AND(V51="w",Z51&lt;&gt;"w"),AND(V51="nt",Z51="w"),VLOOKUP($C$3&amp;"-"&amp;G51,'DE4'!$S$10:$AM$24,M51+16,FALSE)="x"),"x",""))</f>
      </c>
      <c r="AC51" s="62" t="str">
        <f>IF(AND(COUNT($V51)=1,OR($O51=1,$P51=1,$Q51=1,$R51=1,$S51=1,$T51=1)),INT($V51),"x")</f>
        <v>x</v>
      </c>
      <c r="AD51" s="63">
        <f>IF(AC51="x","",IF(AC51=SMALL($AC$22:$AC$76,1),AC51,""))</f>
      </c>
      <c r="AE51" s="62" t="str">
        <f>IF(AND(COUNT($V51)=1,OR($O51=2,$P51=2,$Q51=2,$R51=2,$S51=2,$T51=2)),INT($V51),"x")</f>
        <v>x</v>
      </c>
      <c r="AF51" s="63">
        <f>IF(AE51="x","",IF(AE51=SMALL($AE$22:$AE$76,1),AE51,""))</f>
      </c>
      <c r="AG51" s="62" t="str">
        <f>IF(AND(COUNT($V51)=1,OR($O51=3,$P51=3,$Q51=3,$R51=3,$S51=3,$T51=3)),INT($V51),"x")</f>
        <v>x</v>
      </c>
      <c r="AH51" s="63">
        <f>IF(AG51="x","",IF(AG51=SMALL($AG$22:$AG$76,1),AG51,""))</f>
      </c>
      <c r="AI51" s="62" t="str">
        <f>IF(AND(COUNT($V51)=1,OR($O51=4,$P51=4,$Q51=4,$R51=4,$S51=4,$T51=4)),INT($V51),"x")</f>
        <v>x</v>
      </c>
      <c r="AJ51" s="63">
        <f>IF(AI51="x","",IF(AI51=SMALL($AI$22:$AI$76,1),AI51,""))</f>
      </c>
      <c r="AK51" s="62" t="str">
        <f>IF(AND(COUNT($V51)=1,OR($O51=5,$P51=5,$Q51=5,$R51=5,$S51=5,$T51=5)),INT($V51),"x")</f>
        <v>x</v>
      </c>
      <c r="AL51" s="63">
        <f>IF(AK51="x","",IF(AK51=SMALL($AK$22:$AK$76,1),AK51,""))</f>
      </c>
      <c r="AM51" s="62" t="str">
        <f>IF(AND(COUNT($V51)=1,OR($O51=6,$P51=6,$Q51=6,$R51=6,$S51=6,$T51=6)),INT($V51),"x")</f>
        <v>x</v>
      </c>
      <c r="AN51" s="63">
        <f>IF(AM51="x","",IF(AM51=SMALL($AM$22:$AM$76,1),AM51,""))</f>
      </c>
      <c r="AO51" s="64"/>
      <c r="AP51" s="32"/>
    </row>
    <row r="52" spans="1:42" ht="15" customHeight="1">
      <c r="A52" s="366"/>
      <c r="B52" s="32"/>
      <c r="C52" s="367"/>
      <c r="D52" s="32"/>
      <c r="E52" s="2" t="str">
        <f>IF(E50="","",uitslagen!$B$49)</f>
        <v>DE</v>
      </c>
      <c r="F52" s="59"/>
      <c r="G52" s="71">
        <f>IF(E50="","",E50)</f>
        <v>4</v>
      </c>
      <c r="H52" s="490"/>
      <c r="I52" s="490"/>
      <c r="J52" s="490"/>
      <c r="K52" s="490"/>
      <c r="L52" s="490"/>
      <c r="M52" s="491">
        <v>3</v>
      </c>
      <c r="N52" s="492"/>
      <c r="O52" s="12">
        <v>1</v>
      </c>
      <c r="P52" s="12">
        <v>2</v>
      </c>
      <c r="Q52" s="12">
        <v>3</v>
      </c>
      <c r="R52" s="12">
        <v>4</v>
      </c>
      <c r="S52" s="468"/>
      <c r="T52" s="469"/>
      <c r="U52" s="61">
        <f>IF(V52="","",IF(COUNT(O52:T52)&lt;&gt;4,"X",""))</f>
      </c>
      <c r="V52" s="480" t="s">
        <v>2993</v>
      </c>
      <c r="W52" s="481"/>
      <c r="X52" s="481"/>
      <c r="Y52" s="61">
        <f>IF($V52="","",IF($R$3&gt;$V52,"X",""))</f>
      </c>
      <c r="Z52" s="12" t="s">
        <v>2994</v>
      </c>
      <c r="AA52" s="11">
        <f>IF(G52="","",IF(OR(AND(V52="",Z52&lt;&gt;""),AND(V52&lt;&gt;"",Z52=""),AND(V52="w",Z52&lt;&gt;"w"),AND(V52="nt",Z52="w"),VLOOKUP($C$3&amp;"-"&amp;G52,'DE4'!$S$10:$AM$24,M52+16,FALSE)="x"),"x",""))</f>
      </c>
      <c r="AC52" s="62" t="str">
        <f>IF(AND(COUNT($V52)=1,OR($O52=1,$P52=1,$Q52=1,$R52=1,$S52=1,$T52=1)),INT($V52),"x")</f>
        <v>x</v>
      </c>
      <c r="AD52" s="63">
        <f>IF(AC52="x","",IF(AC52=SMALL($AC$22:$AC$76,1),AC52,""))</f>
      </c>
      <c r="AE52" s="62" t="str">
        <f>IF(AND(COUNT($V52)=1,OR($O52=2,$P52=2,$Q52=2,$R52=2,$S52=2,$T52=2)),INT($V52),"x")</f>
        <v>x</v>
      </c>
      <c r="AF52" s="63">
        <f>IF(AE52="x","",IF(AE52=SMALL($AE$22:$AE$76,1),AE52,""))</f>
      </c>
      <c r="AG52" s="62" t="str">
        <f>IF(AND(COUNT($V52)=1,OR($O52=3,$P52=3,$Q52=3,$R52=3,$S52=3,$T52=3)),INT($V52),"x")</f>
        <v>x</v>
      </c>
      <c r="AH52" s="63">
        <f>IF(AG52="x","",IF(AG52=SMALL($AG$22:$AG$76,1),AG52,""))</f>
      </c>
      <c r="AI52" s="62" t="str">
        <f>IF(AND(COUNT($V52)=1,OR($O52=4,$P52=4,$Q52=4,$R52=4,$S52=4,$T52=4)),INT($V52),"x")</f>
        <v>x</v>
      </c>
      <c r="AJ52" s="63">
        <f>IF(AI52="x","",IF(AI52=SMALL($AI$22:$AI$76,1),AI52,""))</f>
      </c>
      <c r="AK52" s="62" t="str">
        <f>IF(AND(COUNT($V52)=1,OR($O52=5,$P52=5,$Q52=5,$R52=5,$S52=5,$T52=5)),INT($V52),"x")</f>
        <v>x</v>
      </c>
      <c r="AL52" s="63">
        <f>IF(AK52="x","",IF(AK52=SMALL($AK$22:$AK$76,1),AK52,""))</f>
      </c>
      <c r="AM52" s="62" t="str">
        <f>IF(AND(COUNT($V52)=1,OR($O52=6,$P52=6,$Q52=6,$R52=6,$S52=6,$T52=6)),INT($V52),"x")</f>
        <v>x</v>
      </c>
      <c r="AN52" s="63">
        <f>IF(AM52="x","",IF(AM52=SMALL($AM$22:$AM$76,1),AM52,""))</f>
      </c>
      <c r="AO52" s="64"/>
      <c r="AP52" s="32"/>
    </row>
    <row r="53" spans="1:42" ht="15" customHeight="1">
      <c r="A53" s="366"/>
      <c r="B53" s="32"/>
      <c r="C53" s="367"/>
      <c r="D53" s="32"/>
      <c r="E53" s="71">
        <f>IF(OR(COUNTIF(Z50:Z54,"w")=uitslagen!$H$49,MID(E50,1,1)="T"),2,IF(COUNTIF(Z50:Z54,"l")=uitslagen!$H$49,3,""))</f>
        <v>2</v>
      </c>
      <c r="F53" s="59"/>
      <c r="G53" s="71">
        <f>IF(E50="","",E50)</f>
        <v>4</v>
      </c>
      <c r="H53" s="490"/>
      <c r="I53" s="490"/>
      <c r="J53" s="490"/>
      <c r="K53" s="490"/>
      <c r="L53" s="490"/>
      <c r="M53" s="491">
        <v>4</v>
      </c>
      <c r="N53" s="492"/>
      <c r="O53" s="12">
        <v>1</v>
      </c>
      <c r="P53" s="12">
        <v>2</v>
      </c>
      <c r="Q53" s="12">
        <v>3</v>
      </c>
      <c r="R53" s="12">
        <v>4</v>
      </c>
      <c r="S53" s="468"/>
      <c r="T53" s="469"/>
      <c r="U53" s="61">
        <f>IF(V53="","",IF(COUNT(O53:T53)&lt;&gt;4,"X",""))</f>
      </c>
      <c r="V53" s="480">
        <v>20.06</v>
      </c>
      <c r="W53" s="481"/>
      <c r="X53" s="481"/>
      <c r="Y53" s="61">
        <f>IF($V53="","",IF($R$3&gt;$V53,"X",""))</f>
      </c>
      <c r="Z53" s="12" t="s">
        <v>2992</v>
      </c>
      <c r="AA53" s="11">
        <f>IF(G53="","",IF(OR(AND(V53="",Z53&lt;&gt;""),AND(V53&lt;&gt;"",Z53=""),AND(V53="w",Z53&lt;&gt;"w"),AND(V53="nt",Z53="w"),VLOOKUP($C$3&amp;"-"&amp;G53,'DE4'!$S$10:$AM$24,M53+16,FALSE)="x"),"x",""))</f>
      </c>
      <c r="AC53" s="62">
        <f>IF(AND(COUNT($V53)=1,OR($O53=1,$P53=1,$Q53=1,$R53=1,$S53=1,$T53=1)),INT($V53),"x")</f>
        <v>20</v>
      </c>
      <c r="AD53" s="63">
        <f>IF(AC53="x","",IF(AC53=SMALL($AC$22:$AC$76,1),AC53,""))</f>
      </c>
      <c r="AE53" s="62">
        <f>IF(AND(COUNT($V53)=1,OR($O53=2,$P53=2,$Q53=2,$R53=2,$S53=2,$T53=2)),INT($V53),"x")</f>
        <v>20</v>
      </c>
      <c r="AF53" s="63">
        <f>IF(AE53="x","",IF(AE53=SMALL($AE$22:$AE$76,1),AE53,""))</f>
      </c>
      <c r="AG53" s="62">
        <f>IF(AND(COUNT($V53)=1,OR($O53=3,$P53=3,$Q53=3,$R53=3,$S53=3,$T53=3)),INT($V53),"x")</f>
        <v>20</v>
      </c>
      <c r="AH53" s="63">
        <f>IF(AG53="x","",IF(AG53=SMALL($AG$22:$AG$76,1),AG53,""))</f>
      </c>
      <c r="AI53" s="62">
        <f>IF(AND(COUNT($V53)=1,OR($O53=4,$P53=4,$Q53=4,$R53=4,$S53=4,$T53=4)),INT($V53),"x")</f>
        <v>20</v>
      </c>
      <c r="AJ53" s="63">
        <f>IF(AI53="x","",IF(AI53=SMALL($AI$22:$AI$76,1),AI53,""))</f>
      </c>
      <c r="AK53" s="62" t="str">
        <f>IF(AND(COUNT($V53)=1,OR($O53=5,$P53=5,$Q53=5,$R53=5,$S53=5,$T53=5)),INT($V53),"x")</f>
        <v>x</v>
      </c>
      <c r="AL53" s="63">
        <f>IF(AK53="x","",IF(AK53=SMALL($AK$22:$AK$76,1),AK53,""))</f>
      </c>
      <c r="AM53" s="62" t="str">
        <f>IF(AND(COUNT($V53)=1,OR($O53=6,$P53=6,$Q53=6,$R53=6,$S53=6,$T53=6)),INT($V53),"x")</f>
        <v>x</v>
      </c>
      <c r="AN53" s="63">
        <f>IF(AM53="x","",IF(AM53=SMALL($AM$22:$AM$76,1),AM53,""))</f>
      </c>
      <c r="AO53" s="64"/>
      <c r="AP53" s="32"/>
    </row>
    <row r="54" spans="1:42" ht="15" customHeight="1">
      <c r="A54" s="366"/>
      <c r="B54" s="32"/>
      <c r="C54" s="367"/>
      <c r="D54" s="32"/>
      <c r="E54" s="74"/>
      <c r="F54" s="59"/>
      <c r="G54" s="71">
        <f>IF(E50="","",E50)</f>
        <v>4</v>
      </c>
      <c r="H54" s="490"/>
      <c r="I54" s="490"/>
      <c r="J54" s="490"/>
      <c r="K54" s="490"/>
      <c r="L54" s="490"/>
      <c r="M54" s="491">
        <v>5</v>
      </c>
      <c r="N54" s="492"/>
      <c r="O54" s="12">
        <v>1</v>
      </c>
      <c r="P54" s="12">
        <v>2</v>
      </c>
      <c r="Q54" s="12">
        <v>3</v>
      </c>
      <c r="R54" s="12">
        <v>4</v>
      </c>
      <c r="S54" s="468"/>
      <c r="T54" s="469"/>
      <c r="U54" s="61">
        <f>IF(V54="","",IF(COUNT(O54:T54)&lt;&gt;4,"X",""))</f>
      </c>
      <c r="V54" s="480">
        <v>20.14</v>
      </c>
      <c r="W54" s="481"/>
      <c r="X54" s="481"/>
      <c r="Y54" s="61">
        <f>IF($V54="","",IF($R$3&gt;$V54,"X",""))</f>
      </c>
      <c r="Z54" s="12" t="s">
        <v>2992</v>
      </c>
      <c r="AA54" s="11">
        <f>IF(G54="","",IF(OR(AND(V54="",Z54&lt;&gt;""),AND(V54&lt;&gt;"",Z54=""),AND(V54="w",Z54&lt;&gt;"w"),AND(V54="nt",Z54="w"),VLOOKUP($C$3&amp;"-"&amp;G54,'DE4'!$S$10:$AM$24,M54+16,FALSE)="x"),"x",""))</f>
      </c>
      <c r="AC54" s="65">
        <f>IF(AND(COUNT($V54)=1,OR($O54=1,$P54=1,$Q54=1,$R54=1,$S54=1,$T54=1)),INT($V54),"x")</f>
        <v>20</v>
      </c>
      <c r="AD54" s="66">
        <f>IF(AC54="x","",IF(AC54=SMALL($AC$22:$AC$76,1),AC54,""))</f>
      </c>
      <c r="AE54" s="65">
        <f>IF(AND(COUNT($V54)=1,OR($O54=2,$P54=2,$Q54=2,$R54=2,$S54=2,$T54=2)),INT($V54),"x")</f>
        <v>20</v>
      </c>
      <c r="AF54" s="63">
        <f>IF(AE54="x","",IF(AE54=SMALL($AE$22:$AE$76,1),AE54,""))</f>
      </c>
      <c r="AG54" s="65">
        <f>IF(AND(COUNT($V54)=1,OR($O54=3,$P54=3,$Q54=3,$R54=3,$S54=3,$T54=3)),INT($V54),"x")</f>
        <v>20</v>
      </c>
      <c r="AH54" s="63">
        <f>IF(AG54="x","",IF(AG54=SMALL($AG$22:$AG$76,1),AG54,""))</f>
      </c>
      <c r="AI54" s="65">
        <f>IF(AND(COUNT($V54)=1,OR($O54=4,$P54=4,$Q54=4,$R54=4,$S54=4,$T54=4)),INT($V54),"x")</f>
        <v>20</v>
      </c>
      <c r="AJ54" s="63">
        <f>IF(AI54="x","",IF(AI54=SMALL($AI$22:$AI$76,1),AI54,""))</f>
      </c>
      <c r="AK54" s="65" t="str">
        <f>IF(AND(COUNT($V54)=1,OR($O54=5,$P54=5,$Q54=5,$R54=5,$S54=5,$T54=5)),INT($V54),"x")</f>
        <v>x</v>
      </c>
      <c r="AL54" s="63">
        <f>IF(AK54="x","",IF(AK54=SMALL($AK$22:$AK$76,1),AK54,""))</f>
      </c>
      <c r="AM54" s="65" t="str">
        <f>IF(AND(COUNT($V54)=1,OR($O54=6,$P54=6,$Q54=6,$R54=6,$S54=6,$T54=6)),INT($V54),"x")</f>
        <v>x</v>
      </c>
      <c r="AN54" s="63">
        <f>IF(AM54="x","",IF(AM54=SMALL($AM$22:$AM$76,1),AM54,""))</f>
      </c>
      <c r="AO54" s="64"/>
      <c r="AP54" s="32"/>
    </row>
    <row r="55" spans="1:40" ht="3.75" customHeight="1">
      <c r="A55" s="366"/>
      <c r="B55" s="32"/>
      <c r="C55" s="367"/>
      <c r="E55" s="67"/>
      <c r="F55" s="67"/>
      <c r="G55" s="7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487"/>
      <c r="W55" s="487"/>
      <c r="X55" s="487"/>
      <c r="Y55" s="67"/>
      <c r="Z55" s="76"/>
      <c r="AA55" s="68"/>
      <c r="AC55" s="69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</row>
    <row r="56" spans="1:42" ht="15" customHeight="1">
      <c r="A56" s="366"/>
      <c r="B56" s="32"/>
      <c r="C56" s="367"/>
      <c r="D56" s="32"/>
      <c r="E56" s="55" t="str">
        <f>VLOOKUP("race",'[1]Strings'!$A$3:$K$102,'[1]Strings'!$A$1,FALSE)</f>
        <v>Rennen</v>
      </c>
      <c r="F56" s="55" t="str">
        <f>VLOOKUP("baan / piste",'[1]Strings'!$A$3:$K$102,'[1]Strings'!$A$1,FALSE)</f>
        <v>Bahn</v>
      </c>
      <c r="G56" s="55"/>
      <c r="H56" s="476" t="str">
        <f>VLOOKUP("tegen / contre",'[1]Strings'!$A$3:$K$102,'[1]Strings'!$A$1,FALSE)</f>
        <v>gegen</v>
      </c>
      <c r="I56" s="476"/>
      <c r="J56" s="476"/>
      <c r="K56" s="476"/>
      <c r="L56" s="477"/>
      <c r="M56" s="477" t="str">
        <f>VLOOKUP("heat",'[1]Strings'!$A$3:$K$102,'[1]Strings'!$A$1,FALSE)</f>
        <v>Lauf</v>
      </c>
      <c r="N56" s="477"/>
      <c r="O56" s="476" t="str">
        <f>VLOOKUP("Honden / chiens",'[1]Strings'!$A$3:$K$102,'[1]Strings'!$A$1,FALSE)</f>
        <v>Hunde</v>
      </c>
      <c r="P56" s="476"/>
      <c r="Q56" s="476"/>
      <c r="R56" s="476"/>
      <c r="S56" s="476"/>
      <c r="T56" s="476"/>
      <c r="U56" s="162" t="str">
        <f>VLOOKUP("          Tijd/temps",'[1]Strings'!$A$3:$K$102,'[1]Strings'!$A$1,FALSE)</f>
        <v>           Zeit</v>
      </c>
      <c r="V56" s="163"/>
      <c r="W56" s="163"/>
      <c r="X56" s="163"/>
      <c r="Y56" s="161" t="str">
        <f>VLOOKUP("    W / L / T",'[1]Strings'!$A$3:$K$102,'[1]Strings'!$A$1,FALSE)</f>
        <v>    W/L/T</v>
      </c>
      <c r="Z56" s="55"/>
      <c r="AA56" s="68"/>
      <c r="AB56" s="55"/>
      <c r="AC56" s="70"/>
      <c r="AD56" s="67"/>
      <c r="AE56" s="70"/>
      <c r="AF56" s="67"/>
      <c r="AG56" s="70"/>
      <c r="AH56" s="67"/>
      <c r="AI56" s="70"/>
      <c r="AJ56" s="67"/>
      <c r="AK56" s="70"/>
      <c r="AL56" s="67"/>
      <c r="AM56" s="70"/>
      <c r="AN56" s="67"/>
      <c r="AO56" s="565"/>
      <c r="AP56" s="478"/>
    </row>
    <row r="57" spans="1:42" ht="15" customHeight="1">
      <c r="A57" s="366"/>
      <c r="B57" s="32"/>
      <c r="C57" s="367"/>
      <c r="D57" s="32"/>
      <c r="E57" s="488">
        <f>IF(OR(E53="",E50=""),"",VLOOKUP(E43&amp;"-"&amp;E50,'DE4'!$AX$10:$AZ$25,E53,FALSE))</f>
        <v>5</v>
      </c>
      <c r="F57" s="59">
        <f>IF(E57="","",IF(VLOOKUP($C$3&amp;"-"&amp;E57,'DE4'!$S$10:$AS$24,27,FALSE)="Rood",VLOOKUP("Rood / Rouge",'[1]Strings'!$A$3:$K$102,'[1]Strings'!$A$1,FALSE),""))</f>
      </c>
      <c r="G57" s="71">
        <f>IF(E57="","",E57)</f>
        <v>5</v>
      </c>
      <c r="H57" s="478" t="str">
        <f>IF(E57="","",VLOOKUP($C$3&amp;"-"&amp;E57,'DE4'!$S$10:$AR$24,26,FALSE))</f>
        <v>Fast'nFurious Flyballteam</v>
      </c>
      <c r="I57" s="478"/>
      <c r="J57" s="478"/>
      <c r="K57" s="478"/>
      <c r="L57" s="479"/>
      <c r="M57" s="491">
        <v>1</v>
      </c>
      <c r="N57" s="492"/>
      <c r="O57" s="12">
        <v>1</v>
      </c>
      <c r="P57" s="12">
        <v>2</v>
      </c>
      <c r="Q57" s="12">
        <v>3</v>
      </c>
      <c r="R57" s="12">
        <v>4</v>
      </c>
      <c r="S57" s="468"/>
      <c r="T57" s="469"/>
      <c r="U57" s="61">
        <f>IF(V57="","",IF(COUNT(O57:T57)&lt;&gt;4,"X",""))</f>
      </c>
      <c r="V57" s="480">
        <v>20.03</v>
      </c>
      <c r="W57" s="481"/>
      <c r="X57" s="481"/>
      <c r="Y57" s="61">
        <f>IF($V57="","",IF($R$3&gt;$V57,"X",""))</f>
      </c>
      <c r="Z57" s="12" t="s">
        <v>2992</v>
      </c>
      <c r="AA57" s="11">
        <f>IF(G57="","",IF(OR(AND(V57="",Z57&lt;&gt;""),AND(V57&lt;&gt;"",Z57=""),AND(V57="w",Z57&lt;&gt;"w"),AND(V57="nt",Z57="w"),VLOOKUP($C$3&amp;"-"&amp;G57,'DE4'!$S$10:$AM$24,M57+16,FALSE)="x"),"x",""))</f>
      </c>
      <c r="AC57" s="62">
        <f>IF(AND(COUNT($V57)=1,OR($O57=1,$P57=1,$Q57=1,$R57=1,$S57=1,$T57=1)),INT($V57),"x")</f>
        <v>20</v>
      </c>
      <c r="AD57" s="63">
        <f>IF(AC57="x","",IF(AC57=SMALL($AC$22:$AC$76,1),AC57,""))</f>
      </c>
      <c r="AE57" s="62">
        <f>IF(AND(COUNT($V57)=1,OR($O57=2,$P57=2,$Q57=2,$R57=2,$S57=2,$T57=2)),INT($V57),"x")</f>
        <v>20</v>
      </c>
      <c r="AF57" s="63">
        <f>IF(AE57="x","",IF(AE57=SMALL($AE$22:$AE$76,1),AE57,""))</f>
      </c>
      <c r="AG57" s="62">
        <f>IF(AND(COUNT($V57)=1,OR($O57=3,$P57=3,$Q57=3,$R57=3,$S57=3,$T57=3)),INT($V57),"x")</f>
        <v>20</v>
      </c>
      <c r="AH57" s="63">
        <f>IF(AG57="x","",IF(AG57=SMALL($AG$22:$AG$76,1),AG57,""))</f>
      </c>
      <c r="AI57" s="62">
        <f>IF(AND(COUNT($V57)=1,OR($O57=4,$P57=4,$Q57=4,$R57=4,$S57=4,$T57=4)),INT($V57),"x")</f>
        <v>20</v>
      </c>
      <c r="AJ57" s="63">
        <f>IF(AI57="x","",IF(AI57=SMALL($AI$22:$AI$76,1),AI57,""))</f>
      </c>
      <c r="AK57" s="62" t="str">
        <f>IF(AND(COUNT($V57)=1,OR($O57=5,$P57=5,$Q57=5,$R57=5,$S57=5,$T57=5)),INT($V57),"x")</f>
        <v>x</v>
      </c>
      <c r="AL57" s="63">
        <f>IF(AK57="x","",IF(AK57=SMALL($AK$22:$AK$76,1),AK57,""))</f>
      </c>
      <c r="AM57" s="62" t="str">
        <f>IF(AND(COUNT($V57)=1,OR($O57=6,$P57=6,$Q57=6,$R57=6,$S57=6,$T57=6)),INT($V57),"x")</f>
        <v>x</v>
      </c>
      <c r="AN57" s="63">
        <f>IF(AM57="x","",IF(AM57=SMALL($AM$22:$AM$76,1),AM57,""))</f>
      </c>
      <c r="AO57" s="64"/>
      <c r="AP57" s="32"/>
    </row>
    <row r="58" spans="1:42" ht="15" customHeight="1">
      <c r="A58" s="366"/>
      <c r="B58" s="32"/>
      <c r="C58" s="367"/>
      <c r="D58" s="32"/>
      <c r="E58" s="489"/>
      <c r="F58" s="59" t="str">
        <f>IF(E57="","",IF(VLOOKUP($C$3&amp;"-"&amp;E57,'DE4'!$S$10:$AS$24,27,FALSE)="Blauw",VLOOKUP("Blauw / Bleu",'[1]Strings'!$A$3:$K$102,'[1]Strings'!$A$1,FALSE),""))</f>
        <v>Blau</v>
      </c>
      <c r="G58" s="71">
        <f>IF(E57="","",E57)</f>
        <v>5</v>
      </c>
      <c r="H58" s="490">
        <f>IF(OR(U57="x",Y57="x",AA57="x"),"CONTROLEER INVOER       HEAT 1",IF(OR(U58="x",Y58="x",AA58="x"),"CONTROLEER INVOER       HEAT 2",IF(OR(U59="x",Y59="x",AA59="x"),"CONTROLEER INVOER       HEAT 3",IF(OR(U60="x",Y60="x",AA60="x"),"CONTROLEER INVOER       HEAT 4",IF(OR(U61="x",Y61="x",AA61="x"),"CONTROLEER INVOER       HEAT 5","")))))</f>
      </c>
      <c r="I58" s="490"/>
      <c r="J58" s="490"/>
      <c r="K58" s="490"/>
      <c r="L58" s="490"/>
      <c r="M58" s="491">
        <v>2</v>
      </c>
      <c r="N58" s="492"/>
      <c r="O58" s="12">
        <v>1</v>
      </c>
      <c r="P58" s="12">
        <v>2</v>
      </c>
      <c r="Q58" s="12">
        <v>3</v>
      </c>
      <c r="R58" s="12">
        <v>4</v>
      </c>
      <c r="S58" s="468"/>
      <c r="T58" s="469"/>
      <c r="U58" s="61">
        <f>IF(V58="","",IF(COUNT(O58:T58)&lt;&gt;4,"X",""))</f>
      </c>
      <c r="V58" s="480">
        <v>20.81</v>
      </c>
      <c r="W58" s="481"/>
      <c r="X58" s="481"/>
      <c r="Y58" s="61">
        <f>IF($V58="","",IF($R$3&gt;$V58,"X",""))</f>
      </c>
      <c r="Z58" s="12" t="s">
        <v>2994</v>
      </c>
      <c r="AA58" s="11">
        <f>IF(G58="","",IF(OR(AND(V58="",Z58&lt;&gt;""),AND(V58&lt;&gt;"",Z58=""),AND(V58="w",Z58&lt;&gt;"w"),AND(V58="nt",Z58="w"),VLOOKUP($C$3&amp;"-"&amp;G58,'DE4'!$S$10:$AM$24,M58+16,FALSE)="x"),"x",""))</f>
      </c>
      <c r="AC58" s="62">
        <f>IF(AND(COUNT($V58)=1,OR($O58=1,$P58=1,$Q58=1,$R58=1,$S58=1,$T58=1)),INT($V58),"x")</f>
        <v>20</v>
      </c>
      <c r="AD58" s="63">
        <f>IF(AC58="x","",IF(AC58=SMALL($AC$22:$AC$76,1),AC58,""))</f>
      </c>
      <c r="AE58" s="62">
        <f>IF(AND(COUNT($V58)=1,OR($O58=2,$P58=2,$Q58=2,$R58=2,$S58=2,$T58=2)),INT($V58),"x")</f>
        <v>20</v>
      </c>
      <c r="AF58" s="63">
        <f>IF(AE58="x","",IF(AE58=SMALL($AE$22:$AE$76,1),AE58,""))</f>
      </c>
      <c r="AG58" s="62">
        <f>IF(AND(COUNT($V58)=1,OR($O58=3,$P58=3,$Q58=3,$R58=3,$S58=3,$T58=3)),INT($V58),"x")</f>
        <v>20</v>
      </c>
      <c r="AH58" s="63">
        <f>IF(AG58="x","",IF(AG58=SMALL($AG$22:$AG$76,1),AG58,""))</f>
      </c>
      <c r="AI58" s="62">
        <f>IF(AND(COUNT($V58)=1,OR($O58=4,$P58=4,$Q58=4,$R58=4,$S58=4,$T58=4)),INT($V58),"x")</f>
        <v>20</v>
      </c>
      <c r="AJ58" s="63">
        <f>IF(AI58="x","",IF(AI58=SMALL($AI$22:$AI$76,1),AI58,""))</f>
      </c>
      <c r="AK58" s="62" t="str">
        <f>IF(AND(COUNT($V58)=1,OR($O58=5,$P58=5,$Q58=5,$R58=5,$S58=5,$T58=5)),INT($V58),"x")</f>
        <v>x</v>
      </c>
      <c r="AL58" s="63">
        <f>IF(AK58="x","",IF(AK58=SMALL($AK$22:$AK$76,1),AK58,""))</f>
      </c>
      <c r="AM58" s="62" t="str">
        <f>IF(AND(COUNT($V58)=1,OR($O58=6,$P58=6,$Q58=6,$R58=6,$S58=6,$T58=6)),INT($V58),"x")</f>
        <v>x</v>
      </c>
      <c r="AN58" s="63">
        <f>IF(AM58="x","",IF(AM58=SMALL($AM$22:$AM$76,1),AM58,""))</f>
      </c>
      <c r="AO58" s="64"/>
      <c r="AP58" s="32"/>
    </row>
    <row r="59" spans="1:42" ht="15" customHeight="1">
      <c r="A59" s="366"/>
      <c r="B59" s="32"/>
      <c r="C59" s="367"/>
      <c r="D59" s="32"/>
      <c r="E59" s="2" t="str">
        <f>IF(E57="","",uitslagen!$B$49)</f>
        <v>DE</v>
      </c>
      <c r="F59" s="71"/>
      <c r="G59" s="71">
        <f>IF(E57="","",E57)</f>
        <v>5</v>
      </c>
      <c r="H59" s="490"/>
      <c r="I59" s="490"/>
      <c r="J59" s="490"/>
      <c r="K59" s="490"/>
      <c r="L59" s="490"/>
      <c r="M59" s="491">
        <v>3</v>
      </c>
      <c r="N59" s="492"/>
      <c r="O59" s="12">
        <v>1</v>
      </c>
      <c r="P59" s="12">
        <v>2</v>
      </c>
      <c r="Q59" s="12">
        <v>3</v>
      </c>
      <c r="R59" s="12">
        <v>4</v>
      </c>
      <c r="S59" s="468"/>
      <c r="T59" s="469"/>
      <c r="U59" s="61">
        <f>IF(V59="","",IF(COUNT(O59:T59)&lt;&gt;4,"X",""))</f>
      </c>
      <c r="V59" s="480" t="s">
        <v>2993</v>
      </c>
      <c r="W59" s="481"/>
      <c r="X59" s="481"/>
      <c r="Y59" s="61">
        <f>IF($V59="","",IF($R$3&gt;$V59,"X",""))</f>
      </c>
      <c r="Z59" s="12" t="s">
        <v>2994</v>
      </c>
      <c r="AA59" s="11">
        <f>IF(G59="","",IF(OR(AND(V59="",Z59&lt;&gt;""),AND(V59&lt;&gt;"",Z59=""),AND(V59="w",Z59&lt;&gt;"w"),AND(V59="nt",Z59="w"),VLOOKUP($C$3&amp;"-"&amp;G59,'DE4'!$S$10:$AM$24,M59+16,FALSE)="x"),"x",""))</f>
      </c>
      <c r="AC59" s="62" t="str">
        <f>IF(AND(COUNT($V59)=1,OR($O59=1,$P59=1,$Q59=1,$R59=1,$S59=1,$T59=1)),INT($V59),"x")</f>
        <v>x</v>
      </c>
      <c r="AD59" s="63">
        <f>IF(AC59="x","",IF(AC59=SMALL($AC$22:$AC$76,1),AC59,""))</f>
      </c>
      <c r="AE59" s="62" t="str">
        <f>IF(AND(COUNT($V59)=1,OR($O59=2,$P59=2,$Q59=2,$R59=2,$S59=2,$T59=2)),INT($V59),"x")</f>
        <v>x</v>
      </c>
      <c r="AF59" s="63">
        <f>IF(AE59="x","",IF(AE59=SMALL($AE$22:$AE$76,1),AE59,""))</f>
      </c>
      <c r="AG59" s="62" t="str">
        <f>IF(AND(COUNT($V59)=1,OR($O59=3,$P59=3,$Q59=3,$R59=3,$S59=3,$T59=3)),INT($V59),"x")</f>
        <v>x</v>
      </c>
      <c r="AH59" s="63">
        <f>IF(AG59="x","",IF(AG59=SMALL($AG$22:$AG$76,1),AG59,""))</f>
      </c>
      <c r="AI59" s="62" t="str">
        <f>IF(AND(COUNT($V59)=1,OR($O59=4,$P59=4,$Q59=4,$R59=4,$S59=4,$T59=4)),INT($V59),"x")</f>
        <v>x</v>
      </c>
      <c r="AJ59" s="63">
        <f>IF(AI59="x","",IF(AI59=SMALL($AI$22:$AI$76,1),AI59,""))</f>
      </c>
      <c r="AK59" s="62" t="str">
        <f>IF(AND(COUNT($V59)=1,OR($O59=5,$P59=5,$Q59=5,$R59=5,$S59=5,$T59=5)),INT($V59),"x")</f>
        <v>x</v>
      </c>
      <c r="AL59" s="63">
        <f>IF(AK59="x","",IF(AK59=SMALL($AK$22:$AK$76,1),AK59,""))</f>
      </c>
      <c r="AM59" s="62" t="str">
        <f>IF(AND(COUNT($V59)=1,OR($O59=6,$P59=6,$Q59=6,$R59=6,$S59=6,$T59=6)),INT($V59),"x")</f>
        <v>x</v>
      </c>
      <c r="AN59" s="63">
        <f>IF(AM59="x","",IF(AM59=SMALL($AM$22:$AM$76,1),AM59,""))</f>
      </c>
      <c r="AO59" s="64"/>
      <c r="AP59" s="32"/>
    </row>
    <row r="60" spans="1:42" ht="15" customHeight="1">
      <c r="A60" s="366"/>
      <c r="B60" s="32"/>
      <c r="C60" s="367"/>
      <c r="D60" s="32"/>
      <c r="E60" s="71">
        <f>IF(OR(COUNTIF(Z57:Z61,"w")=uitslagen!$H$49,MID(E57,1,1)="T"),2,IF(COUNTIF(Z57:Z61,"l")=uitslagen!$H$49,3,""))</f>
        <v>2</v>
      </c>
      <c r="G60" s="71">
        <f>IF(E57="","",E57)</f>
        <v>5</v>
      </c>
      <c r="H60" s="490"/>
      <c r="I60" s="490"/>
      <c r="J60" s="490"/>
      <c r="K60" s="490"/>
      <c r="L60" s="490"/>
      <c r="M60" s="491">
        <v>4</v>
      </c>
      <c r="N60" s="492"/>
      <c r="O60" s="12">
        <v>1</v>
      </c>
      <c r="P60" s="12">
        <v>2</v>
      </c>
      <c r="Q60" s="12">
        <v>3</v>
      </c>
      <c r="R60" s="12">
        <v>4</v>
      </c>
      <c r="S60" s="468"/>
      <c r="T60" s="469"/>
      <c r="U60" s="61">
        <f>IF(V60="","",IF(COUNT(O60:T60)&lt;&gt;4,"X",""))</f>
      </c>
      <c r="V60" s="480">
        <v>26.89</v>
      </c>
      <c r="W60" s="481"/>
      <c r="X60" s="481"/>
      <c r="Y60" s="61">
        <f>IF($V60="","",IF($R$3&gt;$V60,"X",""))</f>
      </c>
      <c r="Z60" s="12" t="s">
        <v>2992</v>
      </c>
      <c r="AA60" s="11">
        <f>IF(G60="","",IF(OR(AND(V60="",Z60&lt;&gt;""),AND(V60&lt;&gt;"",Z60=""),AND(V60="w",Z60&lt;&gt;"w"),AND(V60="nt",Z60="w"),VLOOKUP($C$3&amp;"-"&amp;G60,'DE4'!$S$10:$AM$24,M60+16,FALSE)="x"),"x",""))</f>
      </c>
      <c r="AC60" s="62">
        <f>IF(AND(COUNT($V60)=1,OR($O60=1,$P60=1,$Q60=1,$R60=1,$S60=1,$T60=1)),INT($V60),"x")</f>
        <v>26</v>
      </c>
      <c r="AD60" s="63">
        <f>IF(AC60="x","",IF(AC60=SMALL($AC$22:$AC$76,1),AC60,""))</f>
      </c>
      <c r="AE60" s="62">
        <f>IF(AND(COUNT($V60)=1,OR($O60=2,$P60=2,$Q60=2,$R60=2,$S60=2,$T60=2)),INT($V60),"x")</f>
        <v>26</v>
      </c>
      <c r="AF60" s="63">
        <f>IF(AE60="x","",IF(AE60=SMALL($AE$22:$AE$76,1),AE60,""))</f>
      </c>
      <c r="AG60" s="62">
        <f>IF(AND(COUNT($V60)=1,OR($O60=3,$P60=3,$Q60=3,$R60=3,$S60=3,$T60=3)),INT($V60),"x")</f>
        <v>26</v>
      </c>
      <c r="AH60" s="63">
        <f>IF(AG60="x","",IF(AG60=SMALL($AG$22:$AG$76,1),AG60,""))</f>
      </c>
      <c r="AI60" s="62">
        <f>IF(AND(COUNT($V60)=1,OR($O60=4,$P60=4,$Q60=4,$R60=4,$S60=4,$T60=4)),INT($V60),"x")</f>
        <v>26</v>
      </c>
      <c r="AJ60" s="63">
        <f>IF(AI60="x","",IF(AI60=SMALL($AI$22:$AI$76,1),AI60,""))</f>
      </c>
      <c r="AK60" s="62" t="str">
        <f>IF(AND(COUNT($V60)=1,OR($O60=5,$P60=5,$Q60=5,$R60=5,$S60=5,$T60=5)),INT($V60),"x")</f>
        <v>x</v>
      </c>
      <c r="AL60" s="63">
        <f>IF(AK60="x","",IF(AK60=SMALL($AK$22:$AK$76,1),AK60,""))</f>
      </c>
      <c r="AM60" s="62" t="str">
        <f>IF(AND(COUNT($V60)=1,OR($O60=6,$P60=6,$Q60=6,$R60=6,$S60=6,$T60=6)),INT($V60),"x")</f>
        <v>x</v>
      </c>
      <c r="AN60" s="63">
        <f>IF(AM60="x","",IF(AM60=SMALL($AM$22:$AM$76,1),AM60,""))</f>
      </c>
      <c r="AO60" s="64"/>
      <c r="AP60" s="32"/>
    </row>
    <row r="61" spans="1:42" ht="15" customHeight="1">
      <c r="A61" s="366"/>
      <c r="B61" s="32"/>
      <c r="C61" s="367"/>
      <c r="D61" s="32"/>
      <c r="E61" s="74">
        <f>IF(E57=6,"FINALE",IF(E57=7,"FINALE  Herkansing",""))</f>
      </c>
      <c r="G61" s="71">
        <f>IF(E57="","",E57)</f>
        <v>5</v>
      </c>
      <c r="H61" s="490"/>
      <c r="I61" s="490"/>
      <c r="J61" s="490"/>
      <c r="K61" s="490"/>
      <c r="L61" s="490"/>
      <c r="M61" s="491">
        <v>5</v>
      </c>
      <c r="N61" s="492"/>
      <c r="O61" s="12">
        <v>1</v>
      </c>
      <c r="P61" s="12">
        <v>2</v>
      </c>
      <c r="Q61" s="12">
        <v>3</v>
      </c>
      <c r="R61" s="12">
        <v>4</v>
      </c>
      <c r="S61" s="468"/>
      <c r="T61" s="469"/>
      <c r="U61" s="61">
        <f>IF(V61="","",IF(COUNT(O61:T61)&lt;&gt;4,"X",""))</f>
      </c>
      <c r="V61" s="480">
        <v>20.73</v>
      </c>
      <c r="W61" s="481"/>
      <c r="X61" s="481"/>
      <c r="Y61" s="61">
        <f>IF($V61="","",IF($R$3&gt;$V61,"X",""))</f>
      </c>
      <c r="Z61" s="12" t="s">
        <v>2992</v>
      </c>
      <c r="AA61" s="11">
        <f>IF(G61="","",IF(OR(AND(V61="",Z61&lt;&gt;""),AND(V61&lt;&gt;"",Z61=""),AND(V61="w",Z61&lt;&gt;"w"),AND(V61="nt",Z61="w"),VLOOKUP($C$3&amp;"-"&amp;G61,'DE4'!$S$10:$AM$24,M61+16,FALSE)="x"),"x",""))</f>
      </c>
      <c r="AC61" s="65">
        <f>IF(AND(COUNT($V61)=1,OR($O61=1,$P61=1,$Q61=1,$R61=1,$S61=1,$T61=1)),INT($V61),"x")</f>
        <v>20</v>
      </c>
      <c r="AD61" s="66">
        <f>IF(AC61="x","",IF(AC61=SMALL($AC$22:$AC$76,1),AC61,""))</f>
      </c>
      <c r="AE61" s="65">
        <f>IF(AND(COUNT($V61)=1,OR($O61=2,$P61=2,$Q61=2,$R61=2,$S61=2,$T61=2)),INT($V61),"x")</f>
        <v>20</v>
      </c>
      <c r="AF61" s="63">
        <f>IF(AE61="x","",IF(AE61=SMALL($AE$22:$AE$76,1),AE61,""))</f>
      </c>
      <c r="AG61" s="65">
        <f>IF(AND(COUNT($V61)=1,OR($O61=3,$P61=3,$Q61=3,$R61=3,$S61=3,$T61=3)),INT($V61),"x")</f>
        <v>20</v>
      </c>
      <c r="AH61" s="63">
        <f>IF(AG61="x","",IF(AG61=SMALL($AG$22:$AG$76,1),AG61,""))</f>
      </c>
      <c r="AI61" s="65">
        <f>IF(AND(COUNT($V61)=1,OR($O61=4,$P61=4,$Q61=4,$R61=4,$S61=4,$T61=4)),INT($V61),"x")</f>
        <v>20</v>
      </c>
      <c r="AJ61" s="63">
        <f>IF(AI61="x","",IF(AI61=SMALL($AI$22:$AI$76,1),AI61,""))</f>
      </c>
      <c r="AK61" s="65" t="str">
        <f>IF(AND(COUNT($V61)=1,OR($O61=5,$P61=5,$Q61=5,$R61=5,$S61=5,$T61=5)),INT($V61),"x")</f>
        <v>x</v>
      </c>
      <c r="AL61" s="63">
        <f>IF(AK61="x","",IF(AK61=SMALL($AK$22:$AK$76,1),AK61,""))</f>
      </c>
      <c r="AM61" s="65" t="str">
        <f>IF(AND(COUNT($V61)=1,OR($O61=6,$P61=6,$Q61=6,$R61=6,$S61=6,$T61=6)),INT($V61),"x")</f>
        <v>x</v>
      </c>
      <c r="AN61" s="63">
        <f>IF(AM61="x","",IF(AM61=SMALL($AM$22:$AM$76,1),AM61,""))</f>
      </c>
      <c r="AO61" s="64"/>
      <c r="AP61" s="32"/>
    </row>
    <row r="62" spans="1:40" ht="3.75" customHeight="1">
      <c r="A62" s="366"/>
      <c r="B62" s="32"/>
      <c r="C62" s="367"/>
      <c r="E62" s="67"/>
      <c r="F62" s="67"/>
      <c r="G62" s="73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87"/>
      <c r="W62" s="487"/>
      <c r="X62" s="487"/>
      <c r="Y62" s="67"/>
      <c r="Z62" s="76"/>
      <c r="AA62" s="68"/>
      <c r="AC62" s="69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</row>
    <row r="63" spans="1:42" ht="15" customHeight="1">
      <c r="A63" s="366"/>
      <c r="B63" s="32"/>
      <c r="C63" s="367"/>
      <c r="D63" s="32"/>
      <c r="E63" s="55" t="str">
        <f>VLOOKUP("race",'[1]Strings'!$A$3:$K$102,'[1]Strings'!$A$1,FALSE)</f>
        <v>Rennen</v>
      </c>
      <c r="F63" s="55" t="str">
        <f>VLOOKUP("baan / piste",'[1]Strings'!$A$3:$K$102,'[1]Strings'!$A$1,FALSE)</f>
        <v>Bahn</v>
      </c>
      <c r="G63" s="55"/>
      <c r="H63" s="476" t="str">
        <f>VLOOKUP("tegen / contre",'[1]Strings'!$A$3:$K$102,'[1]Strings'!$A$1,FALSE)</f>
        <v>gegen</v>
      </c>
      <c r="I63" s="476"/>
      <c r="J63" s="476"/>
      <c r="K63" s="476"/>
      <c r="L63" s="477"/>
      <c r="M63" s="477" t="str">
        <f>VLOOKUP("heat",'[1]Strings'!$A$3:$K$102,'[1]Strings'!$A$1,FALSE)</f>
        <v>Lauf</v>
      </c>
      <c r="N63" s="477"/>
      <c r="O63" s="476" t="str">
        <f>VLOOKUP("Honden / chiens",'[1]Strings'!$A$3:$K$102,'[1]Strings'!$A$1,FALSE)</f>
        <v>Hunde</v>
      </c>
      <c r="P63" s="476"/>
      <c r="Q63" s="476"/>
      <c r="R63" s="476"/>
      <c r="S63" s="476"/>
      <c r="T63" s="476"/>
      <c r="U63" s="162" t="str">
        <f>VLOOKUP("          Tijd/temps",'[1]Strings'!$A$3:$K$102,'[1]Strings'!$A$1,FALSE)</f>
        <v>           Zeit</v>
      </c>
      <c r="V63" s="163"/>
      <c r="W63" s="163"/>
      <c r="X63" s="163"/>
      <c r="Y63" s="161" t="str">
        <f>VLOOKUP("    W / L / T",'[1]Strings'!$A$3:$K$102,'[1]Strings'!$A$1,FALSE)</f>
        <v>    W/L/T</v>
      </c>
      <c r="Z63" s="55"/>
      <c r="AA63" s="68"/>
      <c r="AB63" s="55"/>
      <c r="AC63" s="70"/>
      <c r="AD63" s="67"/>
      <c r="AE63" s="70"/>
      <c r="AF63" s="67"/>
      <c r="AG63" s="70"/>
      <c r="AH63" s="67"/>
      <c r="AI63" s="70"/>
      <c r="AJ63" s="67"/>
      <c r="AK63" s="70"/>
      <c r="AL63" s="67"/>
      <c r="AM63" s="70"/>
      <c r="AN63" s="67"/>
      <c r="AO63" s="565"/>
      <c r="AP63" s="478"/>
    </row>
    <row r="64" spans="1:42" ht="15" customHeight="1">
      <c r="A64" s="366"/>
      <c r="B64" s="32"/>
      <c r="C64" s="367"/>
      <c r="D64" s="32"/>
      <c r="E64" s="488">
        <f>IF(OR(E60="",E57=""),"",VLOOKUP(E50&amp;"-"&amp;E57,'DE4'!$AX$10:$AZ$25,E60,FALSE))</f>
        <v>6</v>
      </c>
      <c r="F64" s="59">
        <f>IF(E64="","",IF(VLOOKUP($C$3&amp;"-"&amp;E64,'DE4'!$S$10:$AS$24,27,FALSE)="Rood",VLOOKUP("Rood / Rouge",'[1]Strings'!$A$3:$K$102,'[1]Strings'!$A$1,FALSE),""))</f>
      </c>
      <c r="G64" s="71">
        <f>IF(E64="","",E64)</f>
        <v>6</v>
      </c>
      <c r="H64" s="478" t="str">
        <f>IF(E64="","",VLOOKUP($C$3&amp;"-"&amp;E64,'DE4'!$S$10:$AR$24,26,FALSE))</f>
        <v>Cool Racers</v>
      </c>
      <c r="I64" s="478"/>
      <c r="J64" s="478"/>
      <c r="K64" s="478"/>
      <c r="L64" s="479"/>
      <c r="M64" s="491">
        <v>1</v>
      </c>
      <c r="N64" s="492"/>
      <c r="O64" s="12">
        <v>1</v>
      </c>
      <c r="P64" s="12">
        <v>2</v>
      </c>
      <c r="Q64" s="12">
        <v>3</v>
      </c>
      <c r="R64" s="12">
        <v>4</v>
      </c>
      <c r="S64" s="468"/>
      <c r="T64" s="469"/>
      <c r="U64" s="61">
        <f>IF(V64="","",IF(COUNT(O64:T64)&lt;&gt;4,"X",""))</f>
      </c>
      <c r="V64" s="480">
        <v>20.18</v>
      </c>
      <c r="W64" s="481"/>
      <c r="X64" s="481"/>
      <c r="Y64" s="61">
        <f>IF($V64="","",IF($R$3&gt;$V64,"X",""))</f>
      </c>
      <c r="Z64" s="12" t="s">
        <v>2994</v>
      </c>
      <c r="AA64" s="11">
        <f>IF(G64="","",IF(OR(AND(V64="",Z64&lt;&gt;""),AND(V64&lt;&gt;"",Z64=""),AND(V64="w",Z64&lt;&gt;"w"),AND(V64="nt",Z64="w"),VLOOKUP($C$3&amp;"-"&amp;G64,'DE4'!$S$10:$AM$24,M64+16,FALSE)="x"),"x",""))</f>
      </c>
      <c r="AC64" s="62">
        <f>IF(AND(COUNT($V64)=1,OR($O64=1,$P64=1,$Q64=1,$R64=1,$S64=1,$T64=1)),INT($V64),"x")</f>
        <v>20</v>
      </c>
      <c r="AD64" s="63">
        <f>IF(AC64="x","",IF(AC64=SMALL($AC$22:$AC$76,1),AC64,""))</f>
      </c>
      <c r="AE64" s="62">
        <f>IF(AND(COUNT($V64)=1,OR($O64=2,$P64=2,$Q64=2,$R64=2,$S64=2,$T64=2)),INT($V64),"x")</f>
        <v>20</v>
      </c>
      <c r="AF64" s="63">
        <f>IF(AE64="x","",IF(AE64=SMALL($AE$22:$AE$76,1),AE64,""))</f>
      </c>
      <c r="AG64" s="62">
        <f>IF(AND(COUNT($V64)=1,OR($O64=3,$P64=3,$Q64=3,$R64=3,$S64=3,$T64=3)),INT($V64),"x")</f>
        <v>20</v>
      </c>
      <c r="AH64" s="63">
        <f>IF(AG64="x","",IF(AG64=SMALL($AG$22:$AG$76,1),AG64,""))</f>
      </c>
      <c r="AI64" s="62">
        <f>IF(AND(COUNT($V64)=1,OR($O64=4,$P64=4,$Q64=4,$R64=4,$S64=4,$T64=4)),INT($V64),"x")</f>
        <v>20</v>
      </c>
      <c r="AJ64" s="63">
        <f>IF(AI64="x","",IF(AI64=SMALL($AI$22:$AI$76,1),AI64,""))</f>
      </c>
      <c r="AK64" s="62" t="str">
        <f>IF(AND(COUNT($V64)=1,OR($O64=5,$P64=5,$Q64=5,$R64=5,$S64=5,$T64=5)),INT($V64),"x")</f>
        <v>x</v>
      </c>
      <c r="AL64" s="63">
        <f>IF(AK64="x","",IF(AK64=SMALL($AK$22:$AK$76,1),AK64,""))</f>
      </c>
      <c r="AM64" s="62" t="str">
        <f>IF(AND(COUNT($V64)=1,OR($O64=6,$P64=6,$Q64=6,$R64=6,$S64=6,$T64=6)),INT($V64),"x")</f>
        <v>x</v>
      </c>
      <c r="AN64" s="63">
        <f>IF(AM64="x","",IF(AM64=SMALL($AM$22:$AM$76,1),AM64,""))</f>
      </c>
      <c r="AO64" s="64"/>
      <c r="AP64" s="32"/>
    </row>
    <row r="65" spans="1:42" ht="15" customHeight="1">
      <c r="A65" s="366"/>
      <c r="B65" s="32"/>
      <c r="C65" s="367"/>
      <c r="D65" s="32"/>
      <c r="E65" s="489"/>
      <c r="F65" s="59" t="str">
        <f>IF(E64="","",IF(VLOOKUP($C$3&amp;"-"&amp;E64,'DE4'!$S$10:$AS$24,27,FALSE)="Blauw",VLOOKUP("Blauw / Bleu",'[1]Strings'!$A$3:$K$102,'[1]Strings'!$A$1,FALSE),""))</f>
        <v>Blau</v>
      </c>
      <c r="G65" s="71">
        <f>IF(E64="","",E64)</f>
        <v>6</v>
      </c>
      <c r="H65" s="490">
        <f>IF(OR(U64="x",Y64="x",AA64="x"),"CONTROLEER INVOER       HEAT 1",IF(OR(U65="x",Y65="x",AA65="x"),"CONTROLEER INVOER       HEAT 2",IF(OR(U66="x",Y66="x",AA66="x"),"CONTROLEER INVOER       HEAT 3",IF(OR(U67="x",Y67="x",AA67="x"),"CONTROLEER INVOER       HEAT 4",IF(OR(U68="x",Y68="x",AA68="x"),"CONTROLEER INVOER       HEAT 5","")))))</f>
      </c>
      <c r="I65" s="490"/>
      <c r="J65" s="490"/>
      <c r="K65" s="490"/>
      <c r="L65" s="490"/>
      <c r="M65" s="491">
        <v>2</v>
      </c>
      <c r="N65" s="492"/>
      <c r="O65" s="12">
        <v>1</v>
      </c>
      <c r="P65" s="12">
        <v>2</v>
      </c>
      <c r="Q65" s="12">
        <v>3</v>
      </c>
      <c r="R65" s="12">
        <v>4</v>
      </c>
      <c r="S65" s="468"/>
      <c r="T65" s="469"/>
      <c r="U65" s="61">
        <f>IF(V65="","",IF(COUNT(O65:T65)&lt;&gt;4,"X",""))</f>
      </c>
      <c r="V65" s="480">
        <v>19.65</v>
      </c>
      <c r="W65" s="481"/>
      <c r="X65" s="481"/>
      <c r="Y65" s="61">
        <f>IF($V65="","",IF($R$3&gt;$V65,"X",""))</f>
      </c>
      <c r="Z65" s="12" t="s">
        <v>2994</v>
      </c>
      <c r="AA65" s="11">
        <f>IF(G65="","",IF(OR(AND(V65="",Z65&lt;&gt;""),AND(V65&lt;&gt;"",Z65=""),AND(V65="w",Z65&lt;&gt;"w"),AND(V65="nt",Z65="w"),VLOOKUP($C$3&amp;"-"&amp;G65,'DE4'!$S$10:$AM$24,M65+16,FALSE)="x"),"x",""))</f>
      </c>
      <c r="AC65" s="62">
        <f>IF(AND(COUNT($V65)=1,OR($O65=1,$P65=1,$Q65=1,$R65=1,$S65=1,$T65=1)),INT($V65),"x")</f>
        <v>19</v>
      </c>
      <c r="AD65" s="63">
        <f>IF(AC65="x","",IF(AC65=SMALL($AC$22:$AC$76,1),AC65,""))</f>
        <v>19</v>
      </c>
      <c r="AE65" s="62">
        <f>IF(AND(COUNT($V65)=1,OR($O65=2,$P65=2,$Q65=2,$R65=2,$S65=2,$T65=2)),INT($V65),"x")</f>
        <v>19</v>
      </c>
      <c r="AF65" s="63">
        <f>IF(AE65="x","",IF(AE65=SMALL($AE$22:$AE$76,1),AE65,""))</f>
        <v>19</v>
      </c>
      <c r="AG65" s="62">
        <f>IF(AND(COUNT($V65)=1,OR($O65=3,$P65=3,$Q65=3,$R65=3,$S65=3,$T65=3)),INT($V65),"x")</f>
        <v>19</v>
      </c>
      <c r="AH65" s="63">
        <f>IF(AG65="x","",IF(AG65=SMALL($AG$22:$AG$76,1),AG65,""))</f>
        <v>19</v>
      </c>
      <c r="AI65" s="62">
        <f>IF(AND(COUNT($V65)=1,OR($O65=4,$P65=4,$Q65=4,$R65=4,$S65=4,$T65=4)),INT($V65),"x")</f>
        <v>19</v>
      </c>
      <c r="AJ65" s="63">
        <f>IF(AI65="x","",IF(AI65=SMALL($AI$22:$AI$76,1),AI65,""))</f>
        <v>19</v>
      </c>
      <c r="AK65" s="62" t="str">
        <f>IF(AND(COUNT($V65)=1,OR($O65=5,$P65=5,$Q65=5,$R65=5,$S65=5,$T65=5)),INT($V65),"x")</f>
        <v>x</v>
      </c>
      <c r="AL65" s="63">
        <f>IF(AK65="x","",IF(AK65=SMALL($AK$22:$AK$76,1),AK65,""))</f>
      </c>
      <c r="AM65" s="62" t="str">
        <f>IF(AND(COUNT($V65)=1,OR($O65=6,$P65=6,$Q65=6,$R65=6,$S65=6,$T65=6)),INT($V65),"x")</f>
        <v>x</v>
      </c>
      <c r="AN65" s="63">
        <f>IF(AM65="x","",IF(AM65=SMALL($AM$22:$AM$76,1),AM65,""))</f>
      </c>
      <c r="AO65" s="64"/>
      <c r="AP65" s="32"/>
    </row>
    <row r="66" spans="1:42" ht="15" customHeight="1">
      <c r="A66" s="366"/>
      <c r="B66" s="32"/>
      <c r="C66" s="367"/>
      <c r="D66" s="32"/>
      <c r="E66" s="2" t="str">
        <f>IF(E64="","",uitslagen!$B$49)</f>
        <v>DE</v>
      </c>
      <c r="F66" s="71"/>
      <c r="G66" s="71">
        <f>IF(E64="","",E64)</f>
        <v>6</v>
      </c>
      <c r="H66" s="490"/>
      <c r="I66" s="490"/>
      <c r="J66" s="490"/>
      <c r="K66" s="490"/>
      <c r="L66" s="490"/>
      <c r="M66" s="491">
        <v>3</v>
      </c>
      <c r="N66" s="492"/>
      <c r="O66" s="12">
        <v>1</v>
      </c>
      <c r="P66" s="12">
        <v>2</v>
      </c>
      <c r="Q66" s="12">
        <v>3</v>
      </c>
      <c r="R66" s="12">
        <v>4</v>
      </c>
      <c r="S66" s="468"/>
      <c r="T66" s="469"/>
      <c r="U66" s="61">
        <f>IF(V66="","",IF(COUNT(O66:T66)&lt;&gt;4,"X",""))</f>
      </c>
      <c r="V66" s="480">
        <v>20.1</v>
      </c>
      <c r="W66" s="481"/>
      <c r="X66" s="481"/>
      <c r="Y66" s="61">
        <f>IF($V66="","",IF($R$3&gt;$V66,"X",""))</f>
      </c>
      <c r="Z66" s="12" t="s">
        <v>2994</v>
      </c>
      <c r="AA66" s="11">
        <f>IF(G66="","",IF(OR(AND(V66="",Z66&lt;&gt;""),AND(V66&lt;&gt;"",Z66=""),AND(V66="w",Z66&lt;&gt;"w"),AND(V66="nt",Z66="w"),VLOOKUP($C$3&amp;"-"&amp;G66,'DE4'!$S$10:$AM$24,M66+16,FALSE)="x"),"x",""))</f>
      </c>
      <c r="AC66" s="62">
        <f>IF(AND(COUNT($V66)=1,OR($O66=1,$P66=1,$Q66=1,$R66=1,$S66=1,$T66=1)),INT($V66),"x")</f>
        <v>20</v>
      </c>
      <c r="AD66" s="63">
        <f>IF(AC66="x","",IF(AC66=SMALL($AC$22:$AC$76,1),AC66,""))</f>
      </c>
      <c r="AE66" s="62">
        <f>IF(AND(COUNT($V66)=1,OR($O66=2,$P66=2,$Q66=2,$R66=2,$S66=2,$T66=2)),INT($V66),"x")</f>
        <v>20</v>
      </c>
      <c r="AF66" s="63">
        <f>IF(AE66="x","",IF(AE66=SMALL($AE$22:$AE$76,1),AE66,""))</f>
      </c>
      <c r="AG66" s="62">
        <f>IF(AND(COUNT($V66)=1,OR($O66=3,$P66=3,$Q66=3,$R66=3,$S66=3,$T66=3)),INT($V66),"x")</f>
        <v>20</v>
      </c>
      <c r="AH66" s="63">
        <f>IF(AG66="x","",IF(AG66=SMALL($AG$22:$AG$76,1),AG66,""))</f>
      </c>
      <c r="AI66" s="62">
        <f>IF(AND(COUNT($V66)=1,OR($O66=4,$P66=4,$Q66=4,$R66=4,$S66=4,$T66=4)),INT($V66),"x")</f>
        <v>20</v>
      </c>
      <c r="AJ66" s="63">
        <f>IF(AI66="x","",IF(AI66=SMALL($AI$22:$AI$76,1),AI66,""))</f>
      </c>
      <c r="AK66" s="62" t="str">
        <f>IF(AND(COUNT($V66)=1,OR($O66=5,$P66=5,$Q66=5,$R66=5,$S66=5,$T66=5)),INT($V66),"x")</f>
        <v>x</v>
      </c>
      <c r="AL66" s="63">
        <f>IF(AK66="x","",IF(AK66=SMALL($AK$22:$AK$76,1),AK66,""))</f>
      </c>
      <c r="AM66" s="62" t="str">
        <f>IF(AND(COUNT($V66)=1,OR($O66=6,$P66=6,$Q66=6,$R66=6,$S66=6,$T66=6)),INT($V66),"x")</f>
        <v>x</v>
      </c>
      <c r="AN66" s="63">
        <f>IF(AM66="x","",IF(AM66=SMALL($AM$22:$AM$76,1),AM66,""))</f>
      </c>
      <c r="AO66" s="64"/>
      <c r="AP66" s="32"/>
    </row>
    <row r="67" spans="1:42" ht="15" customHeight="1">
      <c r="A67" s="366"/>
      <c r="B67" s="32"/>
      <c r="C67" s="367"/>
      <c r="D67" s="32"/>
      <c r="E67" s="71">
        <f>IF(OR(COUNTIF(Z64:Z68,"w")=uitslagen!$H$49,MID(E64,1,1)="T"),2,IF(COUNTIF(Z64:Z68,"l")=uitslagen!$H$49,3,""))</f>
        <v>3</v>
      </c>
      <c r="G67" s="71">
        <f>IF(E64="","",E64)</f>
        <v>6</v>
      </c>
      <c r="H67" s="490"/>
      <c r="I67" s="490"/>
      <c r="J67" s="490"/>
      <c r="K67" s="490"/>
      <c r="L67" s="490"/>
      <c r="M67" s="491">
        <v>4</v>
      </c>
      <c r="N67" s="492"/>
      <c r="O67" s="12"/>
      <c r="P67" s="12"/>
      <c r="Q67" s="12"/>
      <c r="R67" s="12"/>
      <c r="S67" s="468"/>
      <c r="T67" s="469"/>
      <c r="U67" s="61">
        <f>IF(V67="","",IF(COUNT(O67:T67)&lt;&gt;4,"X",""))</f>
      </c>
      <c r="V67" s="480"/>
      <c r="W67" s="481"/>
      <c r="X67" s="481"/>
      <c r="Y67" s="61">
        <f>IF($V67="","",IF($R$3&gt;$V67,"X",""))</f>
      </c>
      <c r="Z67" s="12"/>
      <c r="AA67" s="11">
        <f>IF(G67="","",IF(OR(AND(V67="",Z67&lt;&gt;""),AND(V67&lt;&gt;"",Z67=""),AND(V67="w",Z67&lt;&gt;"w"),AND(V67="nt",Z67="w"),VLOOKUP($C$3&amp;"-"&amp;G67,'DE4'!$S$10:$AM$24,M67+16,FALSE)="x"),"x",""))</f>
      </c>
      <c r="AC67" s="62" t="str">
        <f>IF(AND(COUNT($V67)=1,OR($O67=1,$P67=1,$Q67=1,$R67=1,$S67=1,$T67=1)),INT($V67),"x")</f>
        <v>x</v>
      </c>
      <c r="AD67" s="63">
        <f>IF(AC67="x","",IF(AC67=SMALL($AC$22:$AC$76,1),AC67,""))</f>
      </c>
      <c r="AE67" s="62" t="str">
        <f>IF(AND(COUNT($V67)=1,OR($O67=2,$P67=2,$Q67=2,$R67=2,$S67=2,$T67=2)),INT($V67),"x")</f>
        <v>x</v>
      </c>
      <c r="AF67" s="63">
        <f>IF(AE67="x","",IF(AE67=SMALL($AE$22:$AE$76,1),AE67,""))</f>
      </c>
      <c r="AG67" s="62" t="str">
        <f>IF(AND(COUNT($V67)=1,OR($O67=3,$P67=3,$Q67=3,$R67=3,$S67=3,$T67=3)),INT($V67),"x")</f>
        <v>x</v>
      </c>
      <c r="AH67" s="63">
        <f>IF(AG67="x","",IF(AG67=SMALL($AG$22:$AG$76,1),AG67,""))</f>
      </c>
      <c r="AI67" s="62" t="str">
        <f>IF(AND(COUNT($V67)=1,OR($O67=4,$P67=4,$Q67=4,$R67=4,$S67=4,$T67=4)),INT($V67),"x")</f>
        <v>x</v>
      </c>
      <c r="AJ67" s="63">
        <f>IF(AI67="x","",IF(AI67=SMALL($AI$22:$AI$76,1),AI67,""))</f>
      </c>
      <c r="AK67" s="62" t="str">
        <f>IF(AND(COUNT($V67)=1,OR($O67=5,$P67=5,$Q67=5,$R67=5,$S67=5,$T67=5)),INT($V67),"x")</f>
        <v>x</v>
      </c>
      <c r="AL67" s="63">
        <f>IF(AK67="x","",IF(AK67=SMALL($AK$22:$AK$76,1),AK67,""))</f>
      </c>
      <c r="AM67" s="62" t="str">
        <f>IF(AND(COUNT($V67)=1,OR($O67=6,$P67=6,$Q67=6,$R67=6,$S67=6,$T67=6)),INT($V67),"x")</f>
        <v>x</v>
      </c>
      <c r="AN67" s="63">
        <f>IF(AM67="x","",IF(AM67=SMALL($AM$22:$AM$76,1),AM67,""))</f>
      </c>
      <c r="AO67" s="64"/>
      <c r="AP67" s="32"/>
    </row>
    <row r="68" spans="1:42" ht="15" customHeight="1">
      <c r="A68" s="366"/>
      <c r="B68" s="32"/>
      <c r="C68" s="367"/>
      <c r="D68" s="32"/>
      <c r="E68" s="74" t="str">
        <f>IF(E64=6,"FINALE",IF(E64=7,"FINALE  Herkansing",""))</f>
        <v>FINALE</v>
      </c>
      <c r="G68" s="71">
        <f>IF(E64="","",E64)</f>
        <v>6</v>
      </c>
      <c r="H68" s="490"/>
      <c r="I68" s="490"/>
      <c r="J68" s="490"/>
      <c r="K68" s="490"/>
      <c r="L68" s="490"/>
      <c r="M68" s="491">
        <v>5</v>
      </c>
      <c r="N68" s="492"/>
      <c r="O68" s="12"/>
      <c r="P68" s="12"/>
      <c r="Q68" s="12"/>
      <c r="R68" s="12"/>
      <c r="S68" s="468"/>
      <c r="T68" s="469"/>
      <c r="U68" s="61">
        <f>IF(V68="","",IF(COUNT(O68:T68)&lt;&gt;4,"X",""))</f>
      </c>
      <c r="V68" s="480"/>
      <c r="W68" s="481"/>
      <c r="X68" s="481"/>
      <c r="Y68" s="61">
        <f>IF($V68="","",IF($R$3&gt;$V68,"X",""))</f>
      </c>
      <c r="Z68" s="12"/>
      <c r="AA68" s="11">
        <f>IF(G68="","",IF(OR(AND(V68="",Z68&lt;&gt;""),AND(V68&lt;&gt;"",Z68=""),AND(V68="w",Z68&lt;&gt;"w"),AND(V68="nt",Z68="w"),VLOOKUP($C$3&amp;"-"&amp;G68,'DE4'!$S$10:$AM$24,M68+16,FALSE)="x"),"x",""))</f>
      </c>
      <c r="AC68" s="65" t="str">
        <f>IF(AND(COUNT($V68)=1,OR($O68=1,$P68=1,$Q68=1,$R68=1,$S68=1,$T68=1)),INT($V68),"x")</f>
        <v>x</v>
      </c>
      <c r="AD68" s="66">
        <f>IF(AC68="x","",IF(AC68=SMALL($AC$22:$AC$76,1),AC68,""))</f>
      </c>
      <c r="AE68" s="65" t="str">
        <f>IF(AND(COUNT($V68)=1,OR($O68=2,$P68=2,$Q68=2,$R68=2,$S68=2,$T68=2)),INT($V68),"x")</f>
        <v>x</v>
      </c>
      <c r="AF68" s="63">
        <f>IF(AE68="x","",IF(AE68=SMALL($AE$22:$AE$76,1),AE68,""))</f>
      </c>
      <c r="AG68" s="65" t="str">
        <f>IF(AND(COUNT($V68)=1,OR($O68=3,$P68=3,$Q68=3,$R68=3,$S68=3,$T68=3)),INT($V68),"x")</f>
        <v>x</v>
      </c>
      <c r="AH68" s="63">
        <f>IF(AG68="x","",IF(AG68=SMALL($AG$22:$AG$76,1),AG68,""))</f>
      </c>
      <c r="AI68" s="65" t="str">
        <f>IF(AND(COUNT($V68)=1,OR($O68=4,$P68=4,$Q68=4,$R68=4,$S68=4,$T68=4)),INT($V68),"x")</f>
        <v>x</v>
      </c>
      <c r="AJ68" s="63">
        <f>IF(AI68="x","",IF(AI68=SMALL($AI$22:$AI$76,1),AI68,""))</f>
      </c>
      <c r="AK68" s="65" t="str">
        <f>IF(AND(COUNT($V68)=1,OR($O68=5,$P68=5,$Q68=5,$R68=5,$S68=5,$T68=5)),INT($V68),"x")</f>
        <v>x</v>
      </c>
      <c r="AL68" s="63">
        <f>IF(AK68="x","",IF(AK68=SMALL($AK$22:$AK$76,1),AK68,""))</f>
      </c>
      <c r="AM68" s="65" t="str">
        <f>IF(AND(COUNT($V68)=1,OR($O68=6,$P68=6,$Q68=6,$R68=6,$S68=6,$T68=6)),INT($V68),"x")</f>
        <v>x</v>
      </c>
      <c r="AN68" s="63">
        <f>IF(AM68="x","",IF(AM68=SMALL($AM$22:$AM$76,1),AM68,""))</f>
      </c>
      <c r="AO68" s="64"/>
      <c r="AP68" s="32"/>
    </row>
    <row r="69" spans="1:40" ht="3.75" customHeight="1">
      <c r="A69" s="366"/>
      <c r="B69" s="32"/>
      <c r="C69" s="367"/>
      <c r="E69" s="67"/>
      <c r="F69" s="67"/>
      <c r="G69" s="73"/>
      <c r="H69" s="67"/>
      <c r="I69" s="67"/>
      <c r="J69" s="67"/>
      <c r="K69" s="67"/>
      <c r="L69" s="67"/>
      <c r="M69" s="67"/>
      <c r="N69" s="67"/>
      <c r="O69" s="76"/>
      <c r="P69" s="76"/>
      <c r="Q69" s="76"/>
      <c r="R69" s="76"/>
      <c r="S69" s="76"/>
      <c r="T69" s="76"/>
      <c r="U69" s="67"/>
      <c r="V69" s="487"/>
      <c r="W69" s="487"/>
      <c r="X69" s="487"/>
      <c r="Y69" s="67"/>
      <c r="Z69" s="76"/>
      <c r="AA69" s="68"/>
      <c r="AC69" s="69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</row>
    <row r="70" spans="1:42" ht="15" customHeight="1">
      <c r="A70" s="366"/>
      <c r="B70" s="32"/>
      <c r="C70" s="367"/>
      <c r="D70" s="32"/>
      <c r="E70" s="55" t="str">
        <f>VLOOKUP("race",'[1]Strings'!$A$3:$K$102,'[1]Strings'!$A$1,FALSE)</f>
        <v>Rennen</v>
      </c>
      <c r="F70" s="55" t="str">
        <f>VLOOKUP("baan / piste",'[1]Strings'!$A$3:$K$102,'[1]Strings'!$A$1,FALSE)</f>
        <v>Bahn</v>
      </c>
      <c r="G70" s="55"/>
      <c r="H70" s="476" t="str">
        <f>VLOOKUP("tegen / contre",'[1]Strings'!$A$3:$K$102,'[1]Strings'!$A$1,FALSE)</f>
        <v>gegen</v>
      </c>
      <c r="I70" s="476"/>
      <c r="J70" s="476"/>
      <c r="K70" s="476"/>
      <c r="L70" s="477"/>
      <c r="M70" s="477" t="str">
        <f>VLOOKUP("heat",'[1]Strings'!$A$3:$K$102,'[1]Strings'!$A$1,FALSE)</f>
        <v>Lauf</v>
      </c>
      <c r="N70" s="477"/>
      <c r="O70" s="476" t="str">
        <f>VLOOKUP("Honden / chiens",'[1]Strings'!$A$3:$K$102,'[1]Strings'!$A$1,FALSE)</f>
        <v>Hunde</v>
      </c>
      <c r="P70" s="476"/>
      <c r="Q70" s="476"/>
      <c r="R70" s="476"/>
      <c r="S70" s="476"/>
      <c r="T70" s="476"/>
      <c r="U70" s="162" t="str">
        <f>VLOOKUP("          Tijd/temps",'[1]Strings'!$A$3:$K$102,'[1]Strings'!$A$1,FALSE)</f>
        <v>           Zeit</v>
      </c>
      <c r="V70" s="163"/>
      <c r="W70" s="163"/>
      <c r="X70" s="163"/>
      <c r="Y70" s="161" t="str">
        <f>VLOOKUP("    W / L / T",'[1]Strings'!$A$3:$K$102,'[1]Strings'!$A$1,FALSE)</f>
        <v>    W/L/T</v>
      </c>
      <c r="Z70" s="55"/>
      <c r="AA70" s="68"/>
      <c r="AB70" s="55"/>
      <c r="AC70" s="70"/>
      <c r="AD70" s="67"/>
      <c r="AE70" s="70"/>
      <c r="AF70" s="67"/>
      <c r="AG70" s="70"/>
      <c r="AH70" s="67"/>
      <c r="AI70" s="70"/>
      <c r="AJ70" s="67"/>
      <c r="AK70" s="70"/>
      <c r="AL70" s="67"/>
      <c r="AM70" s="70"/>
      <c r="AN70" s="67"/>
      <c r="AO70" s="565"/>
      <c r="AP70" s="478"/>
    </row>
    <row r="71" spans="1:42" ht="15" customHeight="1">
      <c r="A71" s="366"/>
      <c r="B71" s="32"/>
      <c r="C71" s="367"/>
      <c r="D71" s="32"/>
      <c r="E71" s="488">
        <f>IF(OR(E67="",E64=""),"",VLOOKUP(E57&amp;"-"&amp;E64,'DE4'!$AX$10:$AZ$25,E67,FALSE))</f>
      </c>
      <c r="F71" s="59">
        <f>IF(E71="","",IF(VLOOKUP($C$3&amp;"-"&amp;E71,'DE4'!$S$10:$AS$24,27,FALSE)="Rood",VLOOKUP("Rood / Rouge",'[1]Strings'!$A$3:$K$102,'[1]Strings'!$A$1,FALSE),""))</f>
      </c>
      <c r="G71" s="71">
        <f>IF(E71="","",E71)</f>
      </c>
      <c r="H71" s="478">
        <f>IF(E71="","",VLOOKUP($C$3&amp;"-"&amp;E71,'DE4'!$S$10:$AR$24,26,FALSE))</f>
      </c>
      <c r="I71" s="478"/>
      <c r="J71" s="478"/>
      <c r="K71" s="478"/>
      <c r="L71" s="479"/>
      <c r="M71" s="491">
        <v>1</v>
      </c>
      <c r="N71" s="492"/>
      <c r="O71" s="12"/>
      <c r="P71" s="12"/>
      <c r="Q71" s="12"/>
      <c r="R71" s="12"/>
      <c r="S71" s="468"/>
      <c r="T71" s="469"/>
      <c r="U71" s="61">
        <f>IF(V71="","",IF(COUNT(O71:T71)&lt;&gt;4,"X",""))</f>
      </c>
      <c r="V71" s="480"/>
      <c r="W71" s="481"/>
      <c r="X71" s="481"/>
      <c r="Y71" s="61">
        <f>IF($V71="","",IF($R$3&gt;$V71,"X",""))</f>
      </c>
      <c r="Z71" s="12"/>
      <c r="AA71" s="11">
        <f>IF(G71="","",IF(OR(AND(V71="",Z71&lt;&gt;""),AND(V71&lt;&gt;"",Z71=""),AND(V71="w",Z71&lt;&gt;"w"),AND(V71="nt",Z71="w"),VLOOKUP($C$3&amp;"-"&amp;G71,'DE4'!$S$10:$AM$24,M71+16,FALSE)="x"),"x",""))</f>
      </c>
      <c r="AC71" s="62" t="str">
        <f>IF(AND(COUNT($V71)=1,OR($O71=1,$P71=1,$Q71=1,$R71=1,$S71=1,$T71=1)),INT($V71),"x")</f>
        <v>x</v>
      </c>
      <c r="AD71" s="63">
        <f>IF(AC71="x","",IF(AC71=SMALL($AC$22:$AC$76,1),AC71,""))</f>
      </c>
      <c r="AE71" s="62" t="str">
        <f>IF(AND(COUNT($V71)=1,OR($O71=2,$P71=2,$Q71=2,$R71=2,$S71=2,$T71=2)),INT($V71),"x")</f>
        <v>x</v>
      </c>
      <c r="AF71" s="63">
        <f>IF(AE71="x","",IF(AE71=SMALL($AE$22:$AE$76,1),AE71,""))</f>
      </c>
      <c r="AG71" s="62" t="str">
        <f>IF(AND(COUNT($V71)=1,OR($O71=3,$P71=3,$Q71=3,$R71=3,$S71=3,$T71=3)),INT($V71),"x")</f>
        <v>x</v>
      </c>
      <c r="AH71" s="63">
        <f>IF(AG71="x","",IF(AG71=SMALL($AG$22:$AG$76,1),AG71,""))</f>
      </c>
      <c r="AI71" s="62" t="str">
        <f>IF(AND(COUNT($V71)=1,OR($O71=4,$P71=4,$Q71=4,$R71=4,$S71=4,$T71=4)),INT($V71),"x")</f>
        <v>x</v>
      </c>
      <c r="AJ71" s="63">
        <f>IF(AI71="x","",IF(AI71=SMALL($AI$22:$AI$76,1),AI71,""))</f>
      </c>
      <c r="AK71" s="62" t="str">
        <f>IF(AND(COUNT($V71)=1,OR($O71=5,$P71=5,$Q71=5,$R71=5,$S71=5,$T71=5)),INT($V71),"x")</f>
        <v>x</v>
      </c>
      <c r="AL71" s="63">
        <f>IF(AK71="x","",IF(AK71=SMALL($AK$22:$AK$76,1),AK71,""))</f>
      </c>
      <c r="AM71" s="62" t="str">
        <f>IF(AND(COUNT($V71)=1,OR($O71=6,$P71=6,$Q71=6,$R71=6,$S71=6,$T71=6)),INT($V71),"x")</f>
        <v>x</v>
      </c>
      <c r="AN71" s="63">
        <f>IF(AM71="x","",IF(AM71=SMALL($AM$22:$AM$76,1),AM71,""))</f>
      </c>
      <c r="AO71" s="64"/>
      <c r="AP71" s="32"/>
    </row>
    <row r="72" spans="1:42" ht="15" customHeight="1">
      <c r="A72" s="366"/>
      <c r="B72" s="32"/>
      <c r="C72" s="367"/>
      <c r="D72" s="32"/>
      <c r="E72" s="489"/>
      <c r="F72" s="59">
        <f>IF(E71="","",IF(VLOOKUP($C$3&amp;"-"&amp;E71,'DE4'!$S$10:$AS$24,27,FALSE)="Blauw",VLOOKUP("Blauw / Bleu",'[1]Strings'!$A$3:$K$102,'[1]Strings'!$A$1,FALSE),""))</f>
      </c>
      <c r="G72" s="71">
        <f>IF(E71="","",E71)</f>
      </c>
      <c r="H72" s="490">
        <f>IF(OR(U71="x",Y71="x",AA71="x"),"CONTROLEER INVOER       HEAT 1",IF(OR(U72="x",Y72="x",AA72="x"),"CONTROLEER INVOER       HEAT 2",IF(OR(U73="x",Y73="x",AA73="x"),"CONTROLEER INVOER       HEAT 3",IF(OR(U74="x",Y74="x",AA74="x"),"CONTROLEER INVOER       HEAT 4",IF(OR(U75="x",Y75="x",AA75="x"),"CONTROLEER INVOER       HEAT 5","")))))</f>
      </c>
      <c r="I72" s="490"/>
      <c r="J72" s="490"/>
      <c r="K72" s="490"/>
      <c r="L72" s="490"/>
      <c r="M72" s="491">
        <v>2</v>
      </c>
      <c r="N72" s="492"/>
      <c r="O72" s="12"/>
      <c r="P72" s="12"/>
      <c r="Q72" s="12"/>
      <c r="R72" s="12"/>
      <c r="S72" s="468"/>
      <c r="T72" s="469"/>
      <c r="U72" s="61">
        <f>IF(V72="","",IF(COUNT(O72:T72)&lt;&gt;4,"X",""))</f>
      </c>
      <c r="V72" s="480"/>
      <c r="W72" s="481"/>
      <c r="X72" s="481"/>
      <c r="Y72" s="61">
        <f>IF($V72="","",IF($R$3&gt;$V72,"X",""))</f>
      </c>
      <c r="Z72" s="12"/>
      <c r="AA72" s="11">
        <f>IF(G72="","",IF(OR(AND(V72="",Z72&lt;&gt;""),AND(V72&lt;&gt;"",Z72=""),AND(V72="w",Z72&lt;&gt;"w"),AND(V72="nt",Z72="w"),VLOOKUP($C$3&amp;"-"&amp;G72,'DE4'!$S$10:$AM$24,M72+16,FALSE)="x"),"x",""))</f>
      </c>
      <c r="AC72" s="62" t="str">
        <f>IF(AND(COUNT($V72)=1,OR($O72=1,$P72=1,$Q72=1,$R72=1,$S72=1,$T72=1)),INT($V72),"x")</f>
        <v>x</v>
      </c>
      <c r="AD72" s="63">
        <f>IF(AC72="x","",IF(AC72=SMALL($AC$22:$AC$76,1),AC72,""))</f>
      </c>
      <c r="AE72" s="62" t="str">
        <f>IF(AND(COUNT($V72)=1,OR($O72=2,$P72=2,$Q72=2,$R72=2,$S72=2,$T72=2)),INT($V72),"x")</f>
        <v>x</v>
      </c>
      <c r="AF72" s="63">
        <f>IF(AE72="x","",IF(AE72=SMALL($AE$22:$AE$76,1),AE72,""))</f>
      </c>
      <c r="AG72" s="62" t="str">
        <f>IF(AND(COUNT($V72)=1,OR($O72=3,$P72=3,$Q72=3,$R72=3,$S72=3,$T72=3)),INT($V72),"x")</f>
        <v>x</v>
      </c>
      <c r="AH72" s="63">
        <f>IF(AG72="x","",IF(AG72=SMALL($AG$22:$AG$76,1),AG72,""))</f>
      </c>
      <c r="AI72" s="62" t="str">
        <f>IF(AND(COUNT($V72)=1,OR($O72=4,$P72=4,$Q72=4,$R72=4,$S72=4,$T72=4)),INT($V72),"x")</f>
        <v>x</v>
      </c>
      <c r="AJ72" s="63">
        <f>IF(AI72="x","",IF(AI72=SMALL($AI$22:$AI$76,1),AI72,""))</f>
      </c>
      <c r="AK72" s="62" t="str">
        <f>IF(AND(COUNT($V72)=1,OR($O72=5,$P72=5,$Q72=5,$R72=5,$S72=5,$T72=5)),INT($V72),"x")</f>
        <v>x</v>
      </c>
      <c r="AL72" s="63">
        <f>IF(AK72="x","",IF(AK72=SMALL($AK$22:$AK$76,1),AK72,""))</f>
      </c>
      <c r="AM72" s="62" t="str">
        <f>IF(AND(COUNT($V72)=1,OR($O72=6,$P72=6,$Q72=6,$R72=6,$S72=6,$T72=6)),INT($V72),"x")</f>
        <v>x</v>
      </c>
      <c r="AN72" s="63">
        <f>IF(AM72="x","",IF(AM72=SMALL($AM$22:$AM$76,1),AM72,""))</f>
      </c>
      <c r="AO72" s="64"/>
      <c r="AP72" s="32"/>
    </row>
    <row r="73" spans="1:42" ht="15" customHeight="1">
      <c r="A73" s="366"/>
      <c r="B73" s="32"/>
      <c r="C73" s="367"/>
      <c r="D73" s="32"/>
      <c r="E73" s="2">
        <f>IF(E71="","",uitslagen!$B$49)</f>
      </c>
      <c r="F73" s="71"/>
      <c r="G73" s="71">
        <f>IF(E71="","",E71)</f>
      </c>
      <c r="H73" s="490"/>
      <c r="I73" s="490"/>
      <c r="J73" s="490"/>
      <c r="K73" s="490"/>
      <c r="L73" s="490"/>
      <c r="M73" s="491">
        <v>3</v>
      </c>
      <c r="N73" s="492"/>
      <c r="O73" s="12"/>
      <c r="P73" s="12"/>
      <c r="Q73" s="12"/>
      <c r="R73" s="12"/>
      <c r="S73" s="468"/>
      <c r="T73" s="469"/>
      <c r="U73" s="61">
        <f>IF(V73="","",IF(COUNT(O73:T73)&lt;&gt;4,"X",""))</f>
      </c>
      <c r="V73" s="480"/>
      <c r="W73" s="481"/>
      <c r="X73" s="481"/>
      <c r="Y73" s="61">
        <f>IF($V73="","",IF($R$3&gt;$V73,"X",""))</f>
      </c>
      <c r="Z73" s="12"/>
      <c r="AA73" s="11">
        <f>IF(G73="","",IF(OR(AND(V73="",Z73&lt;&gt;""),AND(V73&lt;&gt;"",Z73=""),AND(V73="w",Z73&lt;&gt;"w"),AND(V73="nt",Z73="w"),VLOOKUP($C$3&amp;"-"&amp;G73,'DE4'!$S$10:$AM$24,M73+16,FALSE)="x"),"x",""))</f>
      </c>
      <c r="AC73" s="62" t="str">
        <f>IF(AND(COUNT($V73)=1,OR($O73=1,$P73=1,$Q73=1,$R73=1,$S73=1,$T73=1)),INT($V73),"x")</f>
        <v>x</v>
      </c>
      <c r="AD73" s="63">
        <f>IF(AC73="x","",IF(AC73=SMALL($AC$22:$AC$76,1),AC73,""))</f>
      </c>
      <c r="AE73" s="62" t="str">
        <f>IF(AND(COUNT($V73)=1,OR($O73=2,$P73=2,$Q73=2,$R73=2,$S73=2,$T73=2)),INT($V73),"x")</f>
        <v>x</v>
      </c>
      <c r="AF73" s="63">
        <f>IF(AE73="x","",IF(AE73=SMALL($AE$22:$AE$76,1),AE73,""))</f>
      </c>
      <c r="AG73" s="62" t="str">
        <f>IF(AND(COUNT($V73)=1,OR($O73=3,$P73=3,$Q73=3,$R73=3,$S73=3,$T73=3)),INT($V73),"x")</f>
        <v>x</v>
      </c>
      <c r="AH73" s="63">
        <f>IF(AG73="x","",IF(AG73=SMALL($AG$22:$AG$76,1),AG73,""))</f>
      </c>
      <c r="AI73" s="62" t="str">
        <f>IF(AND(COUNT($V73)=1,OR($O73=4,$P73=4,$Q73=4,$R73=4,$S73=4,$T73=4)),INT($V73),"x")</f>
        <v>x</v>
      </c>
      <c r="AJ73" s="63">
        <f>IF(AI73="x","",IF(AI73=SMALL($AI$22:$AI$76,1),AI73,""))</f>
      </c>
      <c r="AK73" s="62" t="str">
        <f>IF(AND(COUNT($V73)=1,OR($O73=5,$P73=5,$Q73=5,$R73=5,$S73=5,$T73=5)),INT($V73),"x")</f>
        <v>x</v>
      </c>
      <c r="AL73" s="63">
        <f>IF(AK73="x","",IF(AK73=SMALL($AK$22:$AK$76,1),AK73,""))</f>
      </c>
      <c r="AM73" s="62" t="str">
        <f>IF(AND(COUNT($V73)=1,OR($O73=6,$P73=6,$Q73=6,$R73=6,$S73=6,$T73=6)),INT($V73),"x")</f>
        <v>x</v>
      </c>
      <c r="AN73" s="63">
        <f>IF(AM73="x","",IF(AM73=SMALL($AM$22:$AM$76,1),AM73,""))</f>
      </c>
      <c r="AO73" s="64"/>
      <c r="AP73" s="32"/>
    </row>
    <row r="74" spans="1:42" ht="15" customHeight="1">
      <c r="A74" s="366"/>
      <c r="B74" s="32"/>
      <c r="C74" s="367"/>
      <c r="D74" s="32"/>
      <c r="E74" s="71">
        <f>IF(OR(COUNTIF(Z71:Z75,"w")=uitslagen!$H$49,MID(E71,1,1)="T"),2,IF(COUNTIF(Z71:Z75,"l")=uitslagen!$H$49,3,""))</f>
      </c>
      <c r="G74" s="71">
        <f>IF(E71="","",E71)</f>
      </c>
      <c r="H74" s="490"/>
      <c r="I74" s="490"/>
      <c r="J74" s="490"/>
      <c r="K74" s="490"/>
      <c r="L74" s="490"/>
      <c r="M74" s="491">
        <v>4</v>
      </c>
      <c r="N74" s="492"/>
      <c r="O74" s="12"/>
      <c r="P74" s="12"/>
      <c r="Q74" s="12"/>
      <c r="R74" s="12"/>
      <c r="S74" s="468"/>
      <c r="T74" s="469"/>
      <c r="U74" s="61">
        <f>IF(V74="","",IF(COUNT(O74:T74)&lt;&gt;4,"X",""))</f>
      </c>
      <c r="V74" s="480"/>
      <c r="W74" s="481"/>
      <c r="X74" s="481"/>
      <c r="Y74" s="61">
        <f>IF($V74="","",IF($R$3&gt;$V74,"X",""))</f>
      </c>
      <c r="Z74" s="12"/>
      <c r="AA74" s="11">
        <f>IF(G74="","",IF(OR(AND(V74="",Z74&lt;&gt;""),AND(V74&lt;&gt;"",Z74=""),AND(V74="w",Z74&lt;&gt;"w"),AND(V74="nt",Z74="w"),VLOOKUP($C$3&amp;"-"&amp;G74,'DE4'!$S$10:$AM$24,M74+16,FALSE)="x"),"x",""))</f>
      </c>
      <c r="AC74" s="62" t="str">
        <f>IF(AND(COUNT($V74)=1,OR($O74=1,$P74=1,$Q74=1,$R74=1,$S74=1,$T74=1)),INT($V74),"x")</f>
        <v>x</v>
      </c>
      <c r="AD74" s="63">
        <f>IF(AC74="x","",IF(AC74=SMALL($AC$22:$AC$76,1),AC74,""))</f>
      </c>
      <c r="AE74" s="62" t="str">
        <f>IF(AND(COUNT($V74)=1,OR($O74=2,$P74=2,$Q74=2,$R74=2,$S74=2,$T74=2)),INT($V74),"x")</f>
        <v>x</v>
      </c>
      <c r="AF74" s="63">
        <f>IF(AE74="x","",IF(AE74=SMALL($AE$22:$AE$76,1),AE74,""))</f>
      </c>
      <c r="AG74" s="62" t="str">
        <f>IF(AND(COUNT($V74)=1,OR($O74=3,$P74=3,$Q74=3,$R74=3,$S74=3,$T74=3)),INT($V74),"x")</f>
        <v>x</v>
      </c>
      <c r="AH74" s="63">
        <f>IF(AG74="x","",IF(AG74=SMALL($AG$22:$AG$76,1),AG74,""))</f>
      </c>
      <c r="AI74" s="62" t="str">
        <f>IF(AND(COUNT($V74)=1,OR($O74=4,$P74=4,$Q74=4,$R74=4,$S74=4,$T74=4)),INT($V74),"x")</f>
        <v>x</v>
      </c>
      <c r="AJ74" s="63">
        <f>IF(AI74="x","",IF(AI74=SMALL($AI$22:$AI$76,1),AI74,""))</f>
      </c>
      <c r="AK74" s="62" t="str">
        <f>IF(AND(COUNT($V74)=1,OR($O74=5,$P74=5,$Q74=5,$R74=5,$S74=5,$T74=5)),INT($V74),"x")</f>
        <v>x</v>
      </c>
      <c r="AL74" s="63">
        <f>IF(AK74="x","",IF(AK74=SMALL($AK$22:$AK$76,1),AK74,""))</f>
      </c>
      <c r="AM74" s="62" t="str">
        <f>IF(AND(COUNT($V74)=1,OR($O74=6,$P74=6,$Q74=6,$R74=6,$S74=6,$T74=6)),INT($V74),"x")</f>
        <v>x</v>
      </c>
      <c r="AN74" s="63">
        <f>IF(AM74="x","",IF(AM74=SMALL($AM$22:$AM$76,1),AM74,""))</f>
      </c>
      <c r="AO74" s="64"/>
      <c r="AP74" s="32"/>
    </row>
    <row r="75" spans="1:42" ht="15" customHeight="1">
      <c r="A75" s="366"/>
      <c r="B75" s="32"/>
      <c r="C75" s="367"/>
      <c r="D75" s="32"/>
      <c r="E75" s="74">
        <f>IF(E71=6,"FINALE",IF(E71=7,"FINALE  Herkansing",""))</f>
      </c>
      <c r="G75" s="71">
        <f>IF(E71="","",E71)</f>
      </c>
      <c r="H75" s="490"/>
      <c r="I75" s="490"/>
      <c r="J75" s="490"/>
      <c r="K75" s="490"/>
      <c r="L75" s="490"/>
      <c r="M75" s="491">
        <v>5</v>
      </c>
      <c r="N75" s="492"/>
      <c r="O75" s="12"/>
      <c r="P75" s="12"/>
      <c r="Q75" s="12"/>
      <c r="R75" s="12"/>
      <c r="S75" s="468"/>
      <c r="T75" s="469"/>
      <c r="U75" s="61">
        <f>IF(V75="","",IF(COUNT(O75:T75)&lt;&gt;4,"X",""))</f>
      </c>
      <c r="V75" s="480"/>
      <c r="W75" s="481"/>
      <c r="X75" s="481"/>
      <c r="Y75" s="61">
        <f>IF($V75="","",IF($R$3&gt;$V75,"X",""))</f>
      </c>
      <c r="Z75" s="12"/>
      <c r="AA75" s="11">
        <f>IF(G75="","",IF(OR(AND(V75="",Z75&lt;&gt;""),AND(V75&lt;&gt;"",Z75=""),AND(V75="w",Z75&lt;&gt;"w"),AND(V75="nt",Z75="w"),VLOOKUP($C$3&amp;"-"&amp;G75,'DE4'!$S$10:$AM$24,M75+16,FALSE)="x"),"x",""))</f>
      </c>
      <c r="AC75" s="65" t="str">
        <f>IF(AND(COUNT($V75)=1,OR($O75=1,$P75=1,$Q75=1,$R75=1,$S75=1,$T75=1)),INT($V75),"x")</f>
        <v>x</v>
      </c>
      <c r="AD75" s="66">
        <f>IF(AC75="x","",IF(AC75=SMALL($AC$22:$AC$76,1),AC75,""))</f>
      </c>
      <c r="AE75" s="65" t="str">
        <f>IF(AND(COUNT($V75)=1,OR($O75=2,$P75=2,$Q75=2,$R75=2,$S75=2,$T75=2)),INT($V75),"x")</f>
        <v>x</v>
      </c>
      <c r="AF75" s="63">
        <f>IF(AE75="x","",IF(AE75=SMALL($AE$22:$AE$76,1),AE75,""))</f>
      </c>
      <c r="AG75" s="65" t="str">
        <f>IF(AND(COUNT($V75)=1,OR($O75=3,$P75=3,$Q75=3,$R75=3,$S75=3,$T75=3)),INT($V75),"x")</f>
        <v>x</v>
      </c>
      <c r="AH75" s="63">
        <f>IF(AG75="x","",IF(AG75=SMALL($AG$22:$AG$76,1),AG75,""))</f>
      </c>
      <c r="AI75" s="65" t="str">
        <f>IF(AND(COUNT($V75)=1,OR($O75=4,$P75=4,$Q75=4,$R75=4,$S75=4,$T75=4)),INT($V75),"x")</f>
        <v>x</v>
      </c>
      <c r="AJ75" s="63">
        <f>IF(AI75="x","",IF(AI75=SMALL($AI$22:$AI$76,1),AI75,""))</f>
      </c>
      <c r="AK75" s="65" t="str">
        <f>IF(AND(COUNT($V75)=1,OR($O75=5,$P75=5,$Q75=5,$R75=5,$S75=5,$T75=5)),INT($V75),"x")</f>
        <v>x</v>
      </c>
      <c r="AL75" s="63">
        <f>IF(AK75="x","",IF(AK75=SMALL($AK$22:$AK$76,1),AK75,""))</f>
      </c>
      <c r="AM75" s="65" t="str">
        <f>IF(AND(COUNT($V75)=1,OR($O75=6,$P75=6,$Q75=6,$R75=6,$S75=6,$T75=6)),INT($V75),"x")</f>
        <v>x</v>
      </c>
      <c r="AN75" s="63">
        <f>IF(AM75="x","",IF(AM75=SMALL($AM$22:$AM$76,1),AM75,""))</f>
      </c>
      <c r="AO75" s="64"/>
      <c r="AP75" s="32"/>
    </row>
    <row r="76" spans="1:40" ht="3.75" customHeight="1">
      <c r="A76" s="366"/>
      <c r="B76" s="32"/>
      <c r="C76" s="367"/>
      <c r="E76" s="67"/>
      <c r="F76" s="67"/>
      <c r="G76" s="73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487"/>
      <c r="W76" s="487"/>
      <c r="X76" s="487"/>
      <c r="Y76" s="67"/>
      <c r="Z76" s="76"/>
      <c r="AA76" s="68"/>
      <c r="AC76" s="69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</row>
    <row r="77" spans="1:26" ht="15" customHeight="1">
      <c r="A77" s="32"/>
      <c r="B77" s="32"/>
      <c r="C77" s="32"/>
      <c r="E77" s="568" t="str">
        <f>IF(COUNTIF(uitslagen!E106:E111,"")=6,"",IF(VLOOKUP($C$3,uitslagen!$E$106:$L$111,8,FALSE)=1,"1",VLOOKUP($C$3,uitslagen!$E$106:$L$111,8,FALSE)&amp;" "))</f>
        <v>2 </v>
      </c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</row>
    <row r="78" spans="1:26" ht="15" customHeight="1">
      <c r="A78" s="32"/>
      <c r="B78" s="32"/>
      <c r="C78" s="32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</row>
    <row r="79" spans="1:3" ht="15" customHeight="1">
      <c r="A79" s="32"/>
      <c r="B79" s="32"/>
      <c r="C79" s="32"/>
    </row>
  </sheetData>
  <sheetProtection/>
  <mergeCells count="240">
    <mergeCell ref="B18:D18"/>
    <mergeCell ref="B19:D19"/>
    <mergeCell ref="E19:G19"/>
    <mergeCell ref="H16:I16"/>
    <mergeCell ref="E15:G15"/>
    <mergeCell ref="AO56:AP56"/>
    <mergeCell ref="V51:X51"/>
    <mergeCell ref="V26:X26"/>
    <mergeCell ref="V22:X22"/>
    <mergeCell ref="AG19:AH19"/>
    <mergeCell ref="AC19:AD19"/>
    <mergeCell ref="V27:X27"/>
    <mergeCell ref="H17:I17"/>
    <mergeCell ref="H18:I18"/>
    <mergeCell ref="H19:I19"/>
    <mergeCell ref="H15:I15"/>
    <mergeCell ref="AO70:AP70"/>
    <mergeCell ref="AO63:AP63"/>
    <mergeCell ref="AK19:AL19"/>
    <mergeCell ref="AM19:AN19"/>
    <mergeCell ref="AO21:AP21"/>
    <mergeCell ref="M74:N74"/>
    <mergeCell ref="AO49:AP49"/>
    <mergeCell ref="AO42:AP42"/>
    <mergeCell ref="AO28:AP28"/>
    <mergeCell ref="AE19:AF19"/>
    <mergeCell ref="V45:X45"/>
    <mergeCell ref="H57:L57"/>
    <mergeCell ref="E77:Z78"/>
    <mergeCell ref="E64:E65"/>
    <mergeCell ref="H64:L64"/>
    <mergeCell ref="M73:N73"/>
    <mergeCell ref="E71:E72"/>
    <mergeCell ref="H72:L75"/>
    <mergeCell ref="V71:X71"/>
    <mergeCell ref="V64:X64"/>
    <mergeCell ref="M75:N75"/>
    <mergeCell ref="V60:X60"/>
    <mergeCell ref="E57:E58"/>
    <mergeCell ref="H58:L61"/>
    <mergeCell ref="M60:N60"/>
    <mergeCell ref="AI19:AJ19"/>
    <mergeCell ref="O63:T63"/>
    <mergeCell ref="V66:X66"/>
    <mergeCell ref="V65:X65"/>
    <mergeCell ref="M61:N61"/>
    <mergeCell ref="V76:X76"/>
    <mergeCell ref="V48:X48"/>
    <mergeCell ref="V36:X36"/>
    <mergeCell ref="V73:X73"/>
    <mergeCell ref="V74:X74"/>
    <mergeCell ref="M67:N67"/>
    <mergeCell ref="V67:X67"/>
    <mergeCell ref="M64:N64"/>
    <mergeCell ref="V62:X62"/>
    <mergeCell ref="M63:N63"/>
    <mergeCell ref="V61:X61"/>
    <mergeCell ref="V54:X54"/>
    <mergeCell ref="V52:X52"/>
    <mergeCell ref="M57:N57"/>
    <mergeCell ref="M56:N56"/>
    <mergeCell ref="V57:X57"/>
    <mergeCell ref="M54:N54"/>
    <mergeCell ref="O56:T56"/>
    <mergeCell ref="V58:X58"/>
    <mergeCell ref="M71:N71"/>
    <mergeCell ref="M72:N72"/>
    <mergeCell ref="V55:X55"/>
    <mergeCell ref="E50:E51"/>
    <mergeCell ref="H51:L54"/>
    <mergeCell ref="H50:L50"/>
    <mergeCell ref="M58:N58"/>
    <mergeCell ref="V72:X72"/>
    <mergeCell ref="M52:N52"/>
    <mergeCell ref="M51:N51"/>
    <mergeCell ref="E29:E30"/>
    <mergeCell ref="H30:L33"/>
    <mergeCell ref="M30:N30"/>
    <mergeCell ref="M29:N29"/>
    <mergeCell ref="M31:N31"/>
    <mergeCell ref="M33:N33"/>
    <mergeCell ref="H35:L35"/>
    <mergeCell ref="M35:N35"/>
    <mergeCell ref="AO35:AP35"/>
    <mergeCell ref="M36:N36"/>
    <mergeCell ref="O49:T49"/>
    <mergeCell ref="M47:N47"/>
    <mergeCell ref="M40:N40"/>
    <mergeCell ref="V39:X39"/>
    <mergeCell ref="V43:X43"/>
    <mergeCell ref="M46:N46"/>
    <mergeCell ref="O28:T28"/>
    <mergeCell ref="O42:T42"/>
    <mergeCell ref="M43:N43"/>
    <mergeCell ref="M37:N37"/>
    <mergeCell ref="M39:N39"/>
    <mergeCell ref="O35:T35"/>
    <mergeCell ref="M42:N42"/>
    <mergeCell ref="M32:N32"/>
    <mergeCell ref="M28:N28"/>
    <mergeCell ref="M38:N38"/>
    <mergeCell ref="V30:X30"/>
    <mergeCell ref="V31:X31"/>
    <mergeCell ref="V32:X32"/>
    <mergeCell ref="V37:X37"/>
    <mergeCell ref="V41:X41"/>
    <mergeCell ref="V29:X29"/>
    <mergeCell ref="V33:X33"/>
    <mergeCell ref="V34:X34"/>
    <mergeCell ref="V38:X38"/>
    <mergeCell ref="V40:X40"/>
    <mergeCell ref="E43:E44"/>
    <mergeCell ref="H44:L47"/>
    <mergeCell ref="E36:E37"/>
    <mergeCell ref="H37:L40"/>
    <mergeCell ref="H36:L36"/>
    <mergeCell ref="H43:L43"/>
    <mergeCell ref="V47:X47"/>
    <mergeCell ref="V44:X44"/>
    <mergeCell ref="V50:X50"/>
    <mergeCell ref="V59:X59"/>
    <mergeCell ref="M44:N44"/>
    <mergeCell ref="M50:N50"/>
    <mergeCell ref="M49:N49"/>
    <mergeCell ref="M53:N53"/>
    <mergeCell ref="V53:X53"/>
    <mergeCell ref="M45:N45"/>
    <mergeCell ref="V46:X46"/>
    <mergeCell ref="A1:C1"/>
    <mergeCell ref="D1:K1"/>
    <mergeCell ref="H23:L26"/>
    <mergeCell ref="H28:L28"/>
    <mergeCell ref="E6:J6"/>
    <mergeCell ref="E7:J7"/>
    <mergeCell ref="A6:D6"/>
    <mergeCell ref="A7:D7"/>
    <mergeCell ref="C3:K4"/>
    <mergeCell ref="R3:V4"/>
    <mergeCell ref="A4:B4"/>
    <mergeCell ref="X1:Z1"/>
    <mergeCell ref="X2:Z4"/>
    <mergeCell ref="N3:Q3"/>
    <mergeCell ref="L1:N1"/>
    <mergeCell ref="O1:V1"/>
    <mergeCell ref="L4:M4"/>
    <mergeCell ref="L3:M3"/>
    <mergeCell ref="B11:D11"/>
    <mergeCell ref="B12:D12"/>
    <mergeCell ref="B16:D16"/>
    <mergeCell ref="E16:G16"/>
    <mergeCell ref="A3:B3"/>
    <mergeCell ref="N4:Q4"/>
    <mergeCell ref="N13:V13"/>
    <mergeCell ref="E14:G14"/>
    <mergeCell ref="H14:I14"/>
    <mergeCell ref="L14:M14"/>
    <mergeCell ref="L15:M15"/>
    <mergeCell ref="E13:G13"/>
    <mergeCell ref="B9:D9"/>
    <mergeCell ref="B17:D17"/>
    <mergeCell ref="B13:D13"/>
    <mergeCell ref="B15:D15"/>
    <mergeCell ref="B14:D14"/>
    <mergeCell ref="H13:I13"/>
    <mergeCell ref="L13:M13"/>
    <mergeCell ref="B10:D10"/>
    <mergeCell ref="M26:N26"/>
    <mergeCell ref="O21:T21"/>
    <mergeCell ref="M21:N21"/>
    <mergeCell ref="M22:N22"/>
    <mergeCell ref="M23:N23"/>
    <mergeCell ref="M25:N25"/>
    <mergeCell ref="V24:X24"/>
    <mergeCell ref="V25:X25"/>
    <mergeCell ref="L6:N7"/>
    <mergeCell ref="M24:N24"/>
    <mergeCell ref="W9:Z9"/>
    <mergeCell ref="W10:Z10"/>
    <mergeCell ref="O6:P6"/>
    <mergeCell ref="Q6:R6"/>
    <mergeCell ref="S6:T6"/>
    <mergeCell ref="W8:Z8"/>
    <mergeCell ref="N9:V9"/>
    <mergeCell ref="E12:G12"/>
    <mergeCell ref="H10:J10"/>
    <mergeCell ref="H11:I11"/>
    <mergeCell ref="H12:I12"/>
    <mergeCell ref="N10:V10"/>
    <mergeCell ref="N11:V11"/>
    <mergeCell ref="N12:V12"/>
    <mergeCell ref="Y6:Z6"/>
    <mergeCell ref="E9:G9"/>
    <mergeCell ref="E10:G10"/>
    <mergeCell ref="E11:G11"/>
    <mergeCell ref="L9:M9"/>
    <mergeCell ref="L10:M10"/>
    <mergeCell ref="L11:M11"/>
    <mergeCell ref="H9:J9"/>
    <mergeCell ref="U6:V6"/>
    <mergeCell ref="W6:X6"/>
    <mergeCell ref="N16:V16"/>
    <mergeCell ref="N19:V19"/>
    <mergeCell ref="L12:M12"/>
    <mergeCell ref="L16:M16"/>
    <mergeCell ref="L17:M17"/>
    <mergeCell ref="L18:M18"/>
    <mergeCell ref="L19:M19"/>
    <mergeCell ref="N18:V18"/>
    <mergeCell ref="N14:V14"/>
    <mergeCell ref="N15:V15"/>
    <mergeCell ref="M68:N68"/>
    <mergeCell ref="M66:N66"/>
    <mergeCell ref="M59:N59"/>
    <mergeCell ref="H63:L63"/>
    <mergeCell ref="H70:L70"/>
    <mergeCell ref="E17:G17"/>
    <mergeCell ref="E18:G18"/>
    <mergeCell ref="H42:L42"/>
    <mergeCell ref="H29:L29"/>
    <mergeCell ref="H49:L49"/>
    <mergeCell ref="V75:X75"/>
    <mergeCell ref="V68:X68"/>
    <mergeCell ref="V69:X69"/>
    <mergeCell ref="H71:L71"/>
    <mergeCell ref="O70:T70"/>
    <mergeCell ref="E22:E23"/>
    <mergeCell ref="H56:L56"/>
    <mergeCell ref="M70:N70"/>
    <mergeCell ref="H65:L68"/>
    <mergeCell ref="M65:N65"/>
    <mergeCell ref="H21:L21"/>
    <mergeCell ref="H22:L22"/>
    <mergeCell ref="V23:X23"/>
    <mergeCell ref="Y7:Z7"/>
    <mergeCell ref="O7:P7"/>
    <mergeCell ref="Q7:R7"/>
    <mergeCell ref="S7:T7"/>
    <mergeCell ref="U7:V7"/>
    <mergeCell ref="W7:X7"/>
    <mergeCell ref="N17:V17"/>
  </mergeCells>
  <conditionalFormatting sqref="F22:F23 F71:F72 F29:F30 F43:F45 F50:F54 F57:F58 F64:F65 F36:F37">
    <cfRule type="cellIs" priority="7" dxfId="14" operator="between" stopIfTrue="1">
      <formula>"B"</formula>
      <formula>"C"</formula>
    </cfRule>
    <cfRule type="cellIs" priority="8" dxfId="13" operator="between" stopIfTrue="1">
      <formula>"R"</formula>
      <formula>"S"</formula>
    </cfRule>
  </conditionalFormatting>
  <conditionalFormatting sqref="AS10">
    <cfRule type="cellIs" priority="9" dxfId="3" operator="greaterThan" stopIfTrue="1">
      <formula>99</formula>
    </cfRule>
  </conditionalFormatting>
  <conditionalFormatting sqref="AS11:AS12 AS16:AS19">
    <cfRule type="cellIs" priority="10" dxfId="3" operator="greaterThan" stopIfTrue="1">
      <formula>20</formula>
    </cfRule>
  </conditionalFormatting>
  <conditionalFormatting sqref="E22:E23 E29:E30 E36:E37 E43:E44 E50:E51 E57:E58 E64:E65 E71:E72">
    <cfRule type="expression" priority="11" dxfId="1" stopIfTrue="1">
      <formula>F23&gt;="B"</formula>
    </cfRule>
    <cfRule type="expression" priority="12" dxfId="0" stopIfTrue="1">
      <formula>F22&gt;="R"</formula>
    </cfRule>
  </conditionalFormatting>
  <conditionalFormatting sqref="A1:V11 X1:Z12 W1:W2 W5:W12 A19:J19 B16:J18 A13:A18 L16:Z19 A12:J12 L12:V12 K12:K19">
    <cfRule type="expression" priority="13" dxfId="2" stopIfTrue="1">
      <formula>$W$3&gt;2</formula>
    </cfRule>
  </conditionalFormatting>
  <conditionalFormatting sqref="AS13">
    <cfRule type="cellIs" priority="5" dxfId="3" operator="greaterThan" stopIfTrue="1">
      <formula>20</formula>
    </cfRule>
  </conditionalFormatting>
  <conditionalFormatting sqref="B13:J13 L13:Z13">
    <cfRule type="expression" priority="6" dxfId="2" stopIfTrue="1">
      <formula>$W$3&gt;2</formula>
    </cfRule>
  </conditionalFormatting>
  <conditionalFormatting sqref="AS14">
    <cfRule type="cellIs" priority="3" dxfId="3" operator="greaterThan" stopIfTrue="1">
      <formula>20</formula>
    </cfRule>
  </conditionalFormatting>
  <conditionalFormatting sqref="B14:J14 L14:Z14">
    <cfRule type="expression" priority="4" dxfId="2" stopIfTrue="1">
      <formula>$W$3&gt;2</formula>
    </cfRule>
  </conditionalFormatting>
  <conditionalFormatting sqref="AS15">
    <cfRule type="cellIs" priority="1" dxfId="3" operator="greaterThan" stopIfTrue="1">
      <formula>20</formula>
    </cfRule>
  </conditionalFormatting>
  <conditionalFormatting sqref="B15:J15 L15:Z15">
    <cfRule type="expression" priority="2" dxfId="2" stopIfTrue="1">
      <formula>$W$3&gt;2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78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W79"/>
  <sheetViews>
    <sheetView showGridLines="0" showZeros="0" zoomScalePageLayoutView="0" workbookViewId="0" topLeftCell="A1">
      <pane ySplit="19" topLeftCell="A47" activePane="bottomLeft" state="frozen"/>
      <selection pane="topLeft" activeCell="AR4" sqref="AR4"/>
      <selection pane="bottomLeft" activeCell="O7" sqref="O7:P7"/>
    </sheetView>
  </sheetViews>
  <sheetFormatPr defaultColWidth="9.140625" defaultRowHeight="15" customHeight="1"/>
  <cols>
    <col min="1" max="1" width="3.28125" style="28" customWidth="1"/>
    <col min="2" max="2" width="4.7109375" style="28" customWidth="1"/>
    <col min="3" max="3" width="12.7109375" style="28" customWidth="1"/>
    <col min="4" max="4" width="1.28515625" style="28" customWidth="1"/>
    <col min="5" max="6" width="11.7109375" style="28" customWidth="1"/>
    <col min="7" max="7" width="2.00390625" style="28" customWidth="1"/>
    <col min="8" max="9" width="3.28125" style="28" customWidth="1"/>
    <col min="10" max="10" width="3.00390625" style="28" customWidth="1"/>
    <col min="11" max="11" width="7.140625" style="28" customWidth="1"/>
    <col min="12" max="12" width="5.7109375" style="28" customWidth="1"/>
    <col min="13" max="26" width="3.28125" style="28" customWidth="1"/>
    <col min="27" max="27" width="2.7109375" style="27" customWidth="1"/>
    <col min="28" max="29" width="3.28125" style="28" hidden="1" customWidth="1"/>
    <col min="30" max="30" width="44.8515625" style="28" hidden="1" customWidth="1"/>
    <col min="31" max="31" width="2.7109375" style="29" hidden="1" customWidth="1"/>
    <col min="32" max="42" width="2.7109375" style="28" hidden="1" customWidth="1"/>
    <col min="43" max="43" width="3.28125" style="28" hidden="1" customWidth="1"/>
    <col min="44" max="44" width="16.00390625" style="28" customWidth="1"/>
    <col min="45" max="45" width="6.8515625" style="28" customWidth="1"/>
    <col min="46" max="46" width="6.140625" style="28" bestFit="1" customWidth="1"/>
    <col min="47" max="47" width="17.8515625" style="28" bestFit="1" customWidth="1"/>
    <col min="48" max="49" width="9.8515625" style="28" bestFit="1" customWidth="1"/>
    <col min="50" max="16384" width="9.140625" style="28" customWidth="1"/>
  </cols>
  <sheetData>
    <row r="1" spans="1:31" s="15" customFormat="1" ht="15" customHeight="1">
      <c r="A1" s="549" t="str">
        <f>VLOOKUP("toernooi / tournoi :",'[1]Strings'!A3:K102,'[1]Strings'!A1,FALSE)</f>
        <v>Turnier :</v>
      </c>
      <c r="B1" s="550"/>
      <c r="C1" s="550"/>
      <c r="D1" s="551" t="str">
        <f>'BayernXpress I'!$D$1</f>
        <v>5. Vaterstettener Flyballturnier</v>
      </c>
      <c r="E1" s="551"/>
      <c r="F1" s="551"/>
      <c r="G1" s="551"/>
      <c r="H1" s="551"/>
      <c r="I1" s="551"/>
      <c r="J1" s="551"/>
      <c r="K1" s="551"/>
      <c r="L1" s="540" t="str">
        <f>VLOOKUP("Datum / Date :",'[1]Strings'!A3:K102,'[1]Strings'!A1,FALSE)</f>
        <v>Datum:</v>
      </c>
      <c r="M1" s="541"/>
      <c r="N1" s="541"/>
      <c r="O1" s="542" t="str">
        <f>'BayernXpress I'!$O$1</f>
        <v>05.13.2017</v>
      </c>
      <c r="P1" s="543"/>
      <c r="Q1" s="543"/>
      <c r="R1" s="543"/>
      <c r="S1" s="543"/>
      <c r="T1" s="543"/>
      <c r="U1" s="543"/>
      <c r="V1" s="544"/>
      <c r="W1" s="34" t="str">
        <f>VLOOKUP("BO",'[1]Strings'!A3:K102,'[1]Strings'!A1,FALSE)</f>
        <v>BO </v>
      </c>
      <c r="X1" s="531" t="str">
        <f>VLOOKUP("div",'[1]Strings'!A3:K102,'[1]Strings'!A1,FALSE)</f>
        <v>Division </v>
      </c>
      <c r="Y1" s="532"/>
      <c r="Z1" s="533"/>
      <c r="AA1" s="14"/>
      <c r="AE1" s="16"/>
    </row>
    <row r="2" spans="12:31" s="17" customFormat="1" ht="3.75" customHeight="1"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534">
        <f>'BayernXpress I'!$X$2</f>
        <v>1</v>
      </c>
      <c r="Y2" s="535"/>
      <c r="Z2" s="536"/>
      <c r="AA2" s="19"/>
      <c r="AE2" s="20"/>
    </row>
    <row r="3" spans="1:31" s="17" customFormat="1" ht="12" customHeight="1">
      <c r="A3" s="525" t="str">
        <f>VLOOKUP("Team :",'[1]Strings'!A3:K102,'[1]Strings'!A1,FALSE)</f>
        <v>Team:</v>
      </c>
      <c r="B3" s="526"/>
      <c r="C3" s="561" t="s">
        <v>840</v>
      </c>
      <c r="D3" s="561"/>
      <c r="E3" s="562"/>
      <c r="F3" s="562"/>
      <c r="G3" s="562"/>
      <c r="H3" s="562"/>
      <c r="I3" s="562"/>
      <c r="J3" s="562"/>
      <c r="K3" s="562"/>
      <c r="L3" s="547" t="str">
        <f>VLOOKUP("B.F.B. nr",'[1]Strings'!A3:K102,'[1]Strings'!A1,FALSE)</f>
        <v>Team Nr.</v>
      </c>
      <c r="M3" s="548"/>
      <c r="N3" s="539" t="str">
        <f>VLOOKUP("uitbreektijd :",'[1]Strings'!A3:K102,'[1]Strings'!A1,FALSE)</f>
        <v>Break Out Zeit</v>
      </c>
      <c r="O3" s="539"/>
      <c r="P3" s="539"/>
      <c r="Q3" s="539"/>
      <c r="R3" s="528">
        <f>'BayernXpress I'!R3</f>
        <v>16.54</v>
      </c>
      <c r="S3" s="528"/>
      <c r="T3" s="528"/>
      <c r="U3" s="528"/>
      <c r="V3" s="528"/>
      <c r="W3" s="12">
        <f>COUNTIF(V:V,"bo")</f>
        <v>0</v>
      </c>
      <c r="X3" s="535"/>
      <c r="Y3" s="535"/>
      <c r="Z3" s="536"/>
      <c r="AA3" s="14"/>
      <c r="AB3" s="15"/>
      <c r="AC3" s="15"/>
      <c r="AD3" s="15"/>
      <c r="AE3" s="16"/>
    </row>
    <row r="4" spans="1:31" s="17" customFormat="1" ht="12" customHeight="1">
      <c r="A4" s="530">
        <f>VLOOKUP("Equipe :",'[1]Strings'!A3:K102,'[1]Strings'!A1,FALSE)</f>
        <v>0</v>
      </c>
      <c r="B4" s="527"/>
      <c r="C4" s="563"/>
      <c r="D4" s="563"/>
      <c r="E4" s="563"/>
      <c r="F4" s="563"/>
      <c r="G4" s="563"/>
      <c r="H4" s="563"/>
      <c r="I4" s="563"/>
      <c r="J4" s="563"/>
      <c r="K4" s="563"/>
      <c r="L4" s="545">
        <v>250</v>
      </c>
      <c r="M4" s="546"/>
      <c r="N4" s="527">
        <f>VLOOKUP("temps limite :",'[1]Strings'!A3:K102,'[1]Strings'!A1,FALSE)</f>
        <v>0</v>
      </c>
      <c r="O4" s="527"/>
      <c r="P4" s="527"/>
      <c r="Q4" s="527"/>
      <c r="R4" s="529"/>
      <c r="S4" s="529"/>
      <c r="T4" s="529"/>
      <c r="U4" s="529"/>
      <c r="V4" s="529"/>
      <c r="W4" s="12">
        <f>COUNTIF(V:V,"int")</f>
        <v>0</v>
      </c>
      <c r="X4" s="537"/>
      <c r="Y4" s="537"/>
      <c r="Z4" s="538"/>
      <c r="AA4" s="14"/>
      <c r="AB4" s="15"/>
      <c r="AC4" s="15"/>
      <c r="AD4" s="15"/>
      <c r="AE4" s="16"/>
    </row>
    <row r="5" spans="12:31" s="17" customFormat="1" ht="3.75" customHeight="1" thickBot="1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E5" s="20"/>
    </row>
    <row r="6" spans="1:31" s="25" customFormat="1" ht="15" customHeight="1">
      <c r="A6" s="540" t="str">
        <f>VLOOKUP("Kapitein  /  Capitaine :",'[1]Strings'!A3:K102,'[1]Strings'!A1,FALSE)</f>
        <v>Kapitän :</v>
      </c>
      <c r="B6" s="556"/>
      <c r="C6" s="556"/>
      <c r="D6" s="557"/>
      <c r="E6" s="552" t="s">
        <v>841</v>
      </c>
      <c r="F6" s="552"/>
      <c r="G6" s="552"/>
      <c r="H6" s="552"/>
      <c r="I6" s="552"/>
      <c r="J6" s="553"/>
      <c r="K6" s="21"/>
      <c r="L6" s="510" t="str">
        <f>VLOOKUP("Beste Tijden",'[1]Strings'!A3:K102,'[1]Strings'!A1,FALSE)</f>
        <v>Beste Zeiten</v>
      </c>
      <c r="M6" s="511"/>
      <c r="N6" s="511"/>
      <c r="O6" s="496">
        <v>1</v>
      </c>
      <c r="P6" s="496"/>
      <c r="Q6" s="496">
        <v>2</v>
      </c>
      <c r="R6" s="496"/>
      <c r="S6" s="496">
        <v>3</v>
      </c>
      <c r="T6" s="496"/>
      <c r="U6" s="496">
        <v>4</v>
      </c>
      <c r="V6" s="496"/>
      <c r="W6" s="496">
        <v>5</v>
      </c>
      <c r="X6" s="496"/>
      <c r="Y6" s="496">
        <v>6</v>
      </c>
      <c r="Z6" s="497"/>
      <c r="AA6" s="22"/>
      <c r="AB6" s="23"/>
      <c r="AC6" s="23"/>
      <c r="AD6" s="23"/>
      <c r="AE6" s="24"/>
    </row>
    <row r="7" spans="1:26" ht="15" customHeight="1" thickBot="1">
      <c r="A7" s="558" t="str">
        <f>VLOOKUP("Ballader / Préposé au flybox :",'[1]Strings'!A3:K102,'[1]Strings'!A1,FALSE)</f>
        <v>Boxenlader :</v>
      </c>
      <c r="B7" s="559"/>
      <c r="C7" s="559"/>
      <c r="D7" s="560"/>
      <c r="E7" s="554" t="s">
        <v>842</v>
      </c>
      <c r="F7" s="554"/>
      <c r="G7" s="554"/>
      <c r="H7" s="554"/>
      <c r="I7" s="554"/>
      <c r="J7" s="555"/>
      <c r="K7" s="26"/>
      <c r="L7" s="512"/>
      <c r="M7" s="513"/>
      <c r="N7" s="513"/>
      <c r="O7" s="484">
        <f>IF($W$8&lt;O6,"",IF(SMALL($V$22:$X$76,O6)&lt;$R$3,"UIT !",SMALL($V$22:$X$76,O6)))</f>
        <v>18.28</v>
      </c>
      <c r="P7" s="484"/>
      <c r="Q7" s="484">
        <f>IF($W$8&lt;Q6,"",IF(SMALL($V$22:$X$76,Q6)&lt;$R$3,"UIT !",SMALL($V$22:$X$76,Q6)))</f>
        <v>18.33</v>
      </c>
      <c r="R7" s="484"/>
      <c r="S7" s="484">
        <f>IF($W$8&lt;S6,"",IF(SMALL($V$22:$X$76,S6)&lt;$R$3,"UIT !",SMALL($V$22:$X$76,S6)))</f>
        <v>18.48</v>
      </c>
      <c r="T7" s="484"/>
      <c r="U7" s="484">
        <f>IF($W$8&lt;U6,"",IF(SMALL($V$22:$X$76,U6)&lt;$R$3,"UIT !",SMALL($V$22:$X$76,U6)))</f>
        <v>18.54</v>
      </c>
      <c r="V7" s="484"/>
      <c r="W7" s="482">
        <f>IF($W$8&lt;W6,"",IF(SMALL($V$22:$X$76,W6)&lt;$R$3,"UIT !",SMALL($V$22:$X$76,W6)))</f>
        <v>18.74</v>
      </c>
      <c r="X7" s="482"/>
      <c r="Y7" s="482">
        <f>IF($W$8&lt;Y6,"",IF(SMALL($V$22:$X$76,Y6)&lt;$R$3,"UIT !",SMALL($V$22:$X$76,Y6)))</f>
        <v>18.77</v>
      </c>
      <c r="Z7" s="483"/>
    </row>
    <row r="8" spans="1:26" ht="3.75" customHeight="1" thickBot="1">
      <c r="A8" s="30"/>
      <c r="B8" s="30"/>
      <c r="C8" s="30"/>
      <c r="D8" s="30"/>
      <c r="E8" s="26"/>
      <c r="F8" s="26"/>
      <c r="G8" s="26"/>
      <c r="H8" s="26"/>
      <c r="I8" s="26"/>
      <c r="J8" s="26"/>
      <c r="K8" s="26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  <c r="W8" s="520">
        <f>COUNT(V22:X76)</f>
        <v>13</v>
      </c>
      <c r="X8" s="521"/>
      <c r="Y8" s="521"/>
      <c r="Z8" s="522"/>
    </row>
    <row r="9" spans="1:31" s="17" customFormat="1" ht="13.5" customHeight="1">
      <c r="A9" s="33"/>
      <c r="B9" s="523" t="str">
        <f>VLOOKUP("Naam hond",'[1]Strings'!A3:K102,'[1]Strings'!A1,FALSE)</f>
        <v>Hundename</v>
      </c>
      <c r="C9" s="523"/>
      <c r="D9" s="523"/>
      <c r="E9" s="498" t="str">
        <f>VLOOKUP("Ras",'[1]Strings'!A3:K102,'[1]Strings'!A1,FALSE)</f>
        <v>Rasse</v>
      </c>
      <c r="F9" s="499"/>
      <c r="G9" s="500"/>
      <c r="H9" s="499" t="str">
        <f>VLOOKUP("Sprong",'[1]Strings'!A3:K102,'[1]Strings'!A1,FALSE)</f>
        <v>Sprunghöhe</v>
      </c>
      <c r="I9" s="499"/>
      <c r="J9" s="506"/>
      <c r="K9" s="34" t="str">
        <f>VLOOKUP("controle",'[1]Strings'!A3:K102,'[1]Strings'!A1,FALSE)</f>
        <v>DE-Nr.</v>
      </c>
      <c r="L9" s="498" t="str">
        <f>VLOOKUP("BFB nr",'[1]Strings'!A3:K102,'[1]Strings'!A1,FALSE)</f>
        <v>Hunde Nr.</v>
      </c>
      <c r="M9" s="504"/>
      <c r="N9" s="499" t="str">
        <f>VLOOKUP("Geleider",'[1]Strings'!A3:K102,'[1]Strings'!A1,FALSE)</f>
        <v>Hundeführer</v>
      </c>
      <c r="O9" s="499"/>
      <c r="P9" s="499"/>
      <c r="Q9" s="499"/>
      <c r="R9" s="499"/>
      <c r="S9" s="499"/>
      <c r="T9" s="499"/>
      <c r="U9" s="499"/>
      <c r="V9" s="499"/>
      <c r="W9" s="514">
        <f>VLOOKUP("Kwalificatie",'[1]Strings'!A3:K102,'[1]Strings'!A1,FALSE)</f>
        <v>0</v>
      </c>
      <c r="X9" s="515"/>
      <c r="Y9" s="515"/>
      <c r="Z9" s="516"/>
      <c r="AA9" s="35"/>
      <c r="AB9" s="36"/>
      <c r="AC9" s="36"/>
      <c r="AD9" s="36"/>
      <c r="AE9" s="20"/>
    </row>
    <row r="10" spans="1:49" s="17" customFormat="1" ht="13.5" customHeight="1" thickBot="1">
      <c r="A10" s="37"/>
      <c r="B10" s="524">
        <f>VLOOKUP("Nom du chien",'[1]Strings'!A3:K102,'[1]Strings'!A1,FALSE)</f>
        <v>0</v>
      </c>
      <c r="C10" s="524"/>
      <c r="D10" s="524"/>
      <c r="E10" s="501">
        <f>VLOOKUP("Race(F)",'[1]Strings'!A3:K102,'[1]Strings'!A1,FALSE)</f>
        <v>0</v>
      </c>
      <c r="F10" s="502"/>
      <c r="G10" s="503"/>
      <c r="H10" s="502">
        <f>VLOOKUP("Saute",'[1]Strings'!A3:K102,'[1]Strings'!A1,FALSE)</f>
        <v>0</v>
      </c>
      <c r="I10" s="502"/>
      <c r="J10" s="507"/>
      <c r="K10" s="38"/>
      <c r="L10" s="501"/>
      <c r="M10" s="505" t="s">
        <v>15</v>
      </c>
      <c r="N10" s="502">
        <f>VLOOKUP("Conducteur",'[1]Strings'!A3:K102,'[1]Strings'!A1,FALSE)</f>
        <v>0</v>
      </c>
      <c r="O10" s="502"/>
      <c r="P10" s="502"/>
      <c r="Q10" s="502"/>
      <c r="R10" s="502"/>
      <c r="S10" s="502"/>
      <c r="T10" s="502"/>
      <c r="U10" s="502"/>
      <c r="V10" s="502"/>
      <c r="W10" s="517"/>
      <c r="X10" s="518"/>
      <c r="Y10" s="518"/>
      <c r="Z10" s="519"/>
      <c r="AA10" s="35"/>
      <c r="AB10" s="36"/>
      <c r="AC10" s="36"/>
      <c r="AD10" s="36"/>
      <c r="AE10" s="20"/>
      <c r="AR10" s="17" t="str">
        <f>VLOOKUP("Veterans (&gt;=32)",'[1]Strings'!A3:K102,'[1]Strings'!A1,FALSE)</f>
        <v>Veterans (&gt;=32)</v>
      </c>
      <c r="AS10" s="463" t="e">
        <f>SMALL(AS11:AS19,1)+SMALL(AS11:AS19,2)+SMALL(AS11:AS19,3)+SMALL(AS11:AS19,4)</f>
        <v>#VALUE!</v>
      </c>
      <c r="AT10" s="18" t="s">
        <v>837</v>
      </c>
      <c r="AU10" s="18" t="s">
        <v>169</v>
      </c>
      <c r="AV10" s="18" t="s">
        <v>838</v>
      </c>
      <c r="AW10" s="18" t="s">
        <v>166</v>
      </c>
    </row>
    <row r="11" spans="1:49" s="25" customFormat="1" ht="15" customHeight="1" thickBot="1">
      <c r="A11" s="39">
        <v>1</v>
      </c>
      <c r="B11" s="493" t="str">
        <f>IF($L11="","",VLOOKUP($L11,Honden,2,FALSE))</f>
        <v>Jamie</v>
      </c>
      <c r="C11" s="494"/>
      <c r="D11" s="494"/>
      <c r="E11" s="493" t="str">
        <f>IF($L11="","",VLOOKUP($L11,Honden,3,FALSE))</f>
        <v>Border Collie</v>
      </c>
      <c r="F11" s="494"/>
      <c r="G11" s="494"/>
      <c r="H11" s="508" t="str">
        <f>IF($L11="","",VLOOKUP($L11,Honden,4,FALSE))</f>
        <v>35,00</v>
      </c>
      <c r="I11" s="509"/>
      <c r="J11" s="75"/>
      <c r="K11" s="1" t="str">
        <f>IF($L11="","",VLOOKUP($L11,Honden!$B$2:$I$1200,8,))</f>
        <v>ok</v>
      </c>
      <c r="L11" s="495">
        <v>1931</v>
      </c>
      <c r="M11" s="495"/>
      <c r="N11" s="485" t="str">
        <f>IF($L11="","",VLOOKUP($L11,Honden,5,FALSE))</f>
        <v>Romi</v>
      </c>
      <c r="O11" s="485"/>
      <c r="P11" s="485"/>
      <c r="Q11" s="485" t="e">
        <v>#N/A</v>
      </c>
      <c r="R11" s="485"/>
      <c r="S11" s="485"/>
      <c r="T11" s="485" t="e">
        <v>#N/A</v>
      </c>
      <c r="U11" s="485"/>
      <c r="V11" s="486"/>
      <c r="W11" s="40"/>
      <c r="X11" s="41"/>
      <c r="Y11" s="42"/>
      <c r="Z11" s="43"/>
      <c r="AA11" s="22"/>
      <c r="AB11" s="23"/>
      <c r="AC11" s="23"/>
      <c r="AD11" s="23"/>
      <c r="AE11" s="24"/>
      <c r="AR11" s="464" t="str">
        <f>IF($L11="","",VLOOKUP($L11,Honden,6,FALSE))</f>
        <v>22.04.2008</v>
      </c>
      <c r="AS11" s="465" t="e">
        <f aca="true" t="shared" si="0" ref="AS11:AS19">IF(AR11&lt;&gt;"",ROUNDDOWN(_XLL.BRTEILJAHRE(AR11,$O$1),0),99)</f>
        <v>#VALUE!</v>
      </c>
      <c r="AT11" s="25" t="str">
        <f>IF($L11="","",VLOOKUP($L11,Honden!$B$2:$L$1200,9,))</f>
        <v>Trost</v>
      </c>
      <c r="AU11" s="25">
        <f>IF($L11="","",VLOOKUP($L11,Honden!$B$2:$L$1200,11,))</f>
        <v>40096100116648</v>
      </c>
      <c r="AV11" s="473" t="str">
        <f>IF($L11="","",VLOOKUP($L11,Honden!$B$2:$L$1200,6,))</f>
        <v>22.04.2008</v>
      </c>
      <c r="AW11" s="473" t="str">
        <f>IF($L11="","",VLOOKUP($L11,Honden!$B$2:$L$1200,7,))</f>
        <v>21.05.2017</v>
      </c>
    </row>
    <row r="12" spans="1:49" s="25" customFormat="1" ht="15" customHeight="1" thickBot="1">
      <c r="A12" s="44">
        <v>2</v>
      </c>
      <c r="B12" s="493" t="str">
        <f>IF($L12="","",VLOOKUP($L12,Honden,2,FALSE))</f>
        <v>Emma</v>
      </c>
      <c r="C12" s="494"/>
      <c r="D12" s="494"/>
      <c r="E12" s="493" t="str">
        <f>IF($L12="","",VLOOKUP($L12,Honden,3,FALSE))</f>
        <v>Mischling</v>
      </c>
      <c r="F12" s="494"/>
      <c r="G12" s="494"/>
      <c r="H12" s="508" t="str">
        <f>IF($L12="","",VLOOKUP($L12,Honden,4,FALSE))</f>
        <v>35,00</v>
      </c>
      <c r="I12" s="509"/>
      <c r="J12" s="75"/>
      <c r="K12" s="1" t="str">
        <f>IF($L12="","",VLOOKUP($L12,Honden!$B$2:$I$1200,8,))</f>
        <v>ok</v>
      </c>
      <c r="L12" s="495">
        <v>2837</v>
      </c>
      <c r="M12" s="495"/>
      <c r="N12" s="485" t="str">
        <f>IF($L12="","",VLOOKUP($L12,Honden,5,FALSE))</f>
        <v>Annika</v>
      </c>
      <c r="O12" s="485"/>
      <c r="P12" s="485"/>
      <c r="Q12" s="485" t="e">
        <v>#N/A</v>
      </c>
      <c r="R12" s="485"/>
      <c r="S12" s="485"/>
      <c r="T12" s="485" t="e">
        <v>#N/A</v>
      </c>
      <c r="U12" s="485"/>
      <c r="V12" s="486"/>
      <c r="W12" s="40"/>
      <c r="X12" s="41"/>
      <c r="Y12" s="42"/>
      <c r="Z12" s="43"/>
      <c r="AA12" s="22"/>
      <c r="AB12" s="23"/>
      <c r="AC12" s="23"/>
      <c r="AD12" s="23"/>
      <c r="AE12" s="24"/>
      <c r="AR12" s="464" t="str">
        <f>IF($L12="","",VLOOKUP($L12,Honden,6,FALSE))</f>
        <v>15.01.2013</v>
      </c>
      <c r="AS12" s="465" t="e">
        <f t="shared" si="0"/>
        <v>#VALUE!</v>
      </c>
      <c r="AT12" s="25" t="str">
        <f>IF($L12="","",VLOOKUP($L12,Honden!$B$2:$L$1200,9,))</f>
        <v>Hauser</v>
      </c>
      <c r="AU12" s="25">
        <f>IF($L12="","",VLOOKUP($L12,Honden!$B$2:$L$1200,11,))</f>
        <v>985170002438315</v>
      </c>
      <c r="AV12" s="473" t="str">
        <f>IF($L12="","",VLOOKUP($L12,Honden!$B$2:$L$1200,6,))</f>
        <v>15.01.2013</v>
      </c>
      <c r="AW12" s="473" t="str">
        <f>IF($L12="","",VLOOKUP($L12,Honden!$B$2:$L$1200,7,))</f>
        <v>01.06.2018</v>
      </c>
    </row>
    <row r="13" spans="1:49" s="25" customFormat="1" ht="15" customHeight="1" thickBot="1">
      <c r="A13" s="39">
        <v>3</v>
      </c>
      <c r="B13" s="493" t="str">
        <f>IF($L13="","",VLOOKUP($L13,Honden,2,FALSE))</f>
        <v>Tony</v>
      </c>
      <c r="C13" s="494"/>
      <c r="D13" s="494"/>
      <c r="E13" s="493" t="str">
        <f>IF($L13="","",VLOOKUP($L13,Honden,3,FALSE))</f>
        <v>Border Collie</v>
      </c>
      <c r="F13" s="494"/>
      <c r="G13" s="494"/>
      <c r="H13" s="508" t="str">
        <f>IF($L13="","",VLOOKUP($L13,Honden,4,FALSE))</f>
        <v>35,00</v>
      </c>
      <c r="I13" s="509"/>
      <c r="J13" s="75"/>
      <c r="K13" s="1" t="str">
        <f>IF($L13="","",VLOOKUP($L13,Honden!$B$2:$I$1200,8,))</f>
        <v>ok</v>
      </c>
      <c r="L13" s="495">
        <v>2255</v>
      </c>
      <c r="M13" s="495"/>
      <c r="N13" s="485" t="str">
        <f>IF($L13="","",VLOOKUP($L13,Honden,5,FALSE))</f>
        <v>Ulrike</v>
      </c>
      <c r="O13" s="485"/>
      <c r="P13" s="485"/>
      <c r="Q13" s="485" t="e">
        <v>#N/A</v>
      </c>
      <c r="R13" s="485"/>
      <c r="S13" s="485"/>
      <c r="T13" s="485" t="e">
        <v>#N/A</v>
      </c>
      <c r="U13" s="485"/>
      <c r="V13" s="486"/>
      <c r="W13" s="40"/>
      <c r="X13" s="41"/>
      <c r="Y13" s="42"/>
      <c r="Z13" s="43"/>
      <c r="AA13" s="22"/>
      <c r="AB13" s="23"/>
      <c r="AC13" s="23"/>
      <c r="AD13" s="23"/>
      <c r="AE13" s="24"/>
      <c r="AR13" s="464" t="str">
        <f>IF($L13="","",VLOOKUP($L13,Honden,6,FALSE))</f>
        <v>04.06.2013</v>
      </c>
      <c r="AS13" s="465" t="e">
        <f>IF(AR13&lt;&gt;"",ROUNDDOWN(_XLL.BRTEILJAHRE(AR13,$O$1),0),99)</f>
        <v>#VALUE!</v>
      </c>
      <c r="AT13" s="25" t="str">
        <f>IF($L13="","",VLOOKUP($L13,Honden!$B$2:$L$1200,9,))</f>
        <v>Gennrich</v>
      </c>
      <c r="AU13" s="25">
        <f>IF($L13="","",VLOOKUP($L13,Honden!$B$2:$L$1200,11,))</f>
        <v>40097809130572</v>
      </c>
      <c r="AV13" s="473" t="str">
        <f>IF($L13="","",VLOOKUP($L13,Honden!$B$2:$L$1200,6,))</f>
        <v>04.06.2013</v>
      </c>
      <c r="AW13" s="473" t="str">
        <f>IF($L13="","",VLOOKUP($L13,Honden!$B$2:$L$1200,7,))</f>
        <v>04.03.2018</v>
      </c>
    </row>
    <row r="14" spans="1:49" s="25" customFormat="1" ht="15" customHeight="1" thickBot="1">
      <c r="A14" s="44">
        <v>4</v>
      </c>
      <c r="B14" s="493" t="str">
        <f>IF($L14="","",VLOOKUP($L14,Honden,2,FALSE))</f>
        <v>Bonny</v>
      </c>
      <c r="C14" s="494"/>
      <c r="D14" s="494"/>
      <c r="E14" s="493" t="str">
        <f>IF($L14="","",VLOOKUP($L14,Honden,3,FALSE))</f>
        <v>Border Collie</v>
      </c>
      <c r="F14" s="494"/>
      <c r="G14" s="494"/>
      <c r="H14" s="508" t="str">
        <f>IF($L14="","",VLOOKUP($L14,Honden,4,FALSE))</f>
        <v>32,50</v>
      </c>
      <c r="I14" s="509"/>
      <c r="J14" s="75"/>
      <c r="K14" s="1">
        <f>IF($L14="","",VLOOKUP($L14,Honden!$B$2:$I$1200,8,))</f>
        <v>10307</v>
      </c>
      <c r="L14" s="495">
        <v>2256</v>
      </c>
      <c r="M14" s="495"/>
      <c r="N14" s="485" t="str">
        <f>IF($L14="","",VLOOKUP($L14,Honden,5,FALSE))</f>
        <v>Andrea</v>
      </c>
      <c r="O14" s="485"/>
      <c r="P14" s="485"/>
      <c r="Q14" s="485" t="e">
        <v>#N/A</v>
      </c>
      <c r="R14" s="485"/>
      <c r="S14" s="485"/>
      <c r="T14" s="485" t="e">
        <v>#N/A</v>
      </c>
      <c r="U14" s="485"/>
      <c r="V14" s="486"/>
      <c r="W14" s="40"/>
      <c r="X14" s="41"/>
      <c r="Y14" s="42"/>
      <c r="Z14" s="43"/>
      <c r="AA14" s="22"/>
      <c r="AB14" s="23"/>
      <c r="AC14" s="23"/>
      <c r="AD14" s="23"/>
      <c r="AE14" s="24"/>
      <c r="AR14" s="464" t="str">
        <f>IF($L14="","",VLOOKUP($L14,Honden,6,FALSE))</f>
        <v>07.08.2013</v>
      </c>
      <c r="AS14" s="465" t="e">
        <f>IF(AR14&lt;&gt;"",ROUNDDOWN(_XLL.BRTEILJAHRE(AR14,$O$1),0),99)</f>
        <v>#VALUE!</v>
      </c>
      <c r="AT14" s="25" t="str">
        <f>IF($L14="","",VLOOKUP($L14,Honden!$B$2:$L$1200,9,))</f>
        <v>Candussi</v>
      </c>
      <c r="AU14" s="25">
        <f>IF($L14="","",VLOOKUP($L14,Honden!$B$2:$L$1200,11,))</f>
        <v>40098100375900</v>
      </c>
      <c r="AV14" s="473" t="str">
        <f>IF($L14="","",VLOOKUP($L14,Honden!$B$2:$L$1200,6,))</f>
        <v>07.08.2013</v>
      </c>
      <c r="AW14" s="473" t="str">
        <f>IF($L14="","",VLOOKUP($L14,Honden!$B$2:$L$1200,7,))</f>
        <v>10.11.2017</v>
      </c>
    </row>
    <row r="15" spans="1:49" s="25" customFormat="1" ht="15" customHeight="1" thickBot="1">
      <c r="A15" s="39">
        <v>5</v>
      </c>
      <c r="B15" s="493" t="str">
        <f>IF($L15="","",VLOOKUP($L15,Honden,2,FALSE))</f>
        <v>Amelie</v>
      </c>
      <c r="C15" s="494"/>
      <c r="D15" s="494"/>
      <c r="E15" s="493" t="str">
        <f>IF($L15="","",VLOOKUP($L15,Honden,3,FALSE))</f>
        <v>Border Collie</v>
      </c>
      <c r="F15" s="494"/>
      <c r="G15" s="494"/>
      <c r="H15" s="508" t="str">
        <f>IF($L15="","",VLOOKUP($L15,Honden,4,FALSE))</f>
        <v>35,00</v>
      </c>
      <c r="I15" s="509"/>
      <c r="J15" s="75"/>
      <c r="K15" s="1">
        <f>IF($L15="","",VLOOKUP($L15,Honden!$B$2:$I$1200,8,))</f>
        <v>10306</v>
      </c>
      <c r="L15" s="495">
        <v>2196</v>
      </c>
      <c r="M15" s="495"/>
      <c r="N15" s="485" t="str">
        <f>IF($L15="","",VLOOKUP($L15,Honden,5,FALSE))</f>
        <v>Reinhard</v>
      </c>
      <c r="O15" s="485"/>
      <c r="P15" s="485"/>
      <c r="Q15" s="485" t="e">
        <v>#N/A</v>
      </c>
      <c r="R15" s="485"/>
      <c r="S15" s="485"/>
      <c r="T15" s="485" t="e">
        <v>#N/A</v>
      </c>
      <c r="U15" s="485"/>
      <c r="V15" s="486"/>
      <c r="W15" s="40"/>
      <c r="X15" s="41"/>
      <c r="Y15" s="42"/>
      <c r="Z15" s="43"/>
      <c r="AA15" s="22"/>
      <c r="AB15" s="23"/>
      <c r="AC15" s="23"/>
      <c r="AD15" s="23"/>
      <c r="AE15" s="24"/>
      <c r="AR15" s="464" t="str">
        <f>IF($L15="","",VLOOKUP($L15,Honden,6,FALSE))</f>
        <v>04.06.2013</v>
      </c>
      <c r="AS15" s="465" t="e">
        <f>IF(AR15&lt;&gt;"",ROUNDDOWN(_XLL.BRTEILJAHRE(AR15,$O$1),0),99)</f>
        <v>#VALUE!</v>
      </c>
      <c r="AT15" s="25" t="str">
        <f>IF($L15="","",VLOOKUP($L15,Honden!$B$2:$L$1200,9,))</f>
        <v>Trost</v>
      </c>
      <c r="AU15" s="25">
        <f>IF($L15="","",VLOOKUP($L15,Honden!$B$2:$L$1200,11,))</f>
        <v>40097809086443</v>
      </c>
      <c r="AV15" s="473" t="str">
        <f>IF($L15="","",VLOOKUP($L15,Honden!$B$2:$L$1200,6,))</f>
        <v>04.06.2013</v>
      </c>
      <c r="AW15" s="473" t="str">
        <f>IF($L15="","",VLOOKUP($L15,Honden!$B$2:$L$1200,7,))</f>
        <v>13.07.2019</v>
      </c>
    </row>
    <row r="16" spans="1:49" s="25" customFormat="1" ht="15" customHeight="1" thickBot="1">
      <c r="A16" s="44">
        <v>6</v>
      </c>
      <c r="B16" s="493">
        <f>IF($L16="","",VLOOKUP($L16,Honden,2,FALSE))</f>
      </c>
      <c r="C16" s="494"/>
      <c r="D16" s="494"/>
      <c r="E16" s="493">
        <f>IF($L16="","",VLOOKUP($L16,Honden,3,FALSE))</f>
      </c>
      <c r="F16" s="494"/>
      <c r="G16" s="494"/>
      <c r="H16" s="508">
        <f>IF($L16="","",VLOOKUP($L16,Honden,4,FALSE))</f>
      </c>
      <c r="I16" s="509"/>
      <c r="J16" s="75"/>
      <c r="K16" s="1">
        <f>IF($L16="","",VLOOKUP($L16,Honden!$B$2:$I$1200,8,))</f>
      </c>
      <c r="L16" s="495"/>
      <c r="M16" s="495"/>
      <c r="N16" s="485">
        <f>IF($L16="","",VLOOKUP($L16,Honden,5,FALSE))</f>
      </c>
      <c r="O16" s="485"/>
      <c r="P16" s="485"/>
      <c r="Q16" s="485" t="e">
        <v>#N/A</v>
      </c>
      <c r="R16" s="485"/>
      <c r="S16" s="485"/>
      <c r="T16" s="485" t="e">
        <v>#N/A</v>
      </c>
      <c r="U16" s="485"/>
      <c r="V16" s="486"/>
      <c r="W16" s="40"/>
      <c r="X16" s="41"/>
      <c r="Y16" s="42"/>
      <c r="Z16" s="43"/>
      <c r="AA16" s="22"/>
      <c r="AB16" s="23"/>
      <c r="AC16" s="23"/>
      <c r="AD16" s="23"/>
      <c r="AE16" s="24"/>
      <c r="AM16" s="45"/>
      <c r="AR16" s="464">
        <f>IF($L16="","",VLOOKUP($L16,Honden,6,FALSE))</f>
      </c>
      <c r="AS16" s="465">
        <f t="shared" si="0"/>
        <v>99</v>
      </c>
      <c r="AT16" s="25">
        <f>IF($L16="","",VLOOKUP($L16,Honden!$B$2:$L$1200,9,))</f>
      </c>
      <c r="AU16" s="25">
        <f>IF($L16="","",VLOOKUP($L16,Honden!$B$2:$L$1200,11,))</f>
      </c>
      <c r="AV16" s="473">
        <f>IF($L16="","",VLOOKUP($L16,Honden!$B$2:$L$1200,6,))</f>
      </c>
      <c r="AW16" s="473">
        <f>IF($L16="","",VLOOKUP($L16,Honden!$B$2:$L$1200,7,))</f>
      </c>
    </row>
    <row r="17" spans="1:49" s="25" customFormat="1" ht="15" customHeight="1" thickBot="1">
      <c r="A17" s="39">
        <v>7</v>
      </c>
      <c r="B17" s="493">
        <f>IF($L17="","",VLOOKUP($L17,Honden,2,FALSE))</f>
      </c>
      <c r="C17" s="494"/>
      <c r="D17" s="494"/>
      <c r="E17" s="493">
        <f>IF($L17="","",VLOOKUP($L17,Honden,3,FALSE))</f>
      </c>
      <c r="F17" s="494"/>
      <c r="G17" s="494"/>
      <c r="H17" s="508">
        <f>IF($L17="","",VLOOKUP($L17,Honden,4,FALSE))</f>
      </c>
      <c r="I17" s="509"/>
      <c r="J17" s="75"/>
      <c r="K17" s="1">
        <f>IF($L17="","",VLOOKUP($L17,Honden!$B$2:$I$1200,8,))</f>
      </c>
      <c r="L17" s="495"/>
      <c r="M17" s="495"/>
      <c r="N17" s="485">
        <f>IF($L17="","",VLOOKUP($L17,Honden,5,FALSE))</f>
      </c>
      <c r="O17" s="485"/>
      <c r="P17" s="485"/>
      <c r="Q17" s="485" t="e">
        <v>#N/A</v>
      </c>
      <c r="R17" s="485"/>
      <c r="S17" s="485"/>
      <c r="T17" s="485" t="e">
        <v>#N/A</v>
      </c>
      <c r="U17" s="485"/>
      <c r="V17" s="486"/>
      <c r="W17" s="40"/>
      <c r="X17" s="41"/>
      <c r="Y17" s="42"/>
      <c r="Z17" s="43"/>
      <c r="AA17" s="22"/>
      <c r="AB17" s="23"/>
      <c r="AC17" s="23"/>
      <c r="AD17" s="23"/>
      <c r="AE17" s="24"/>
      <c r="AR17" s="464">
        <f>IF($L17="","",VLOOKUP($L17,Honden,6,FALSE))</f>
      </c>
      <c r="AS17" s="465">
        <f t="shared" si="0"/>
        <v>99</v>
      </c>
      <c r="AT17" s="25">
        <f>IF($L17="","",VLOOKUP($L17,Honden!$B$2:$L$1200,9,))</f>
      </c>
      <c r="AU17" s="25">
        <f>IF($L17="","",VLOOKUP($L17,Honden!$B$2:$L$1200,11,))</f>
      </c>
      <c r="AV17" s="473">
        <f>IF($L17="","",VLOOKUP($L17,Honden!$B$2:$L$1200,6,))</f>
      </c>
      <c r="AW17" s="473">
        <f>IF($L17="","",VLOOKUP($L17,Honden!$B$2:$L$1200,7,))</f>
      </c>
    </row>
    <row r="18" spans="1:49" s="25" customFormat="1" ht="15" customHeight="1" thickBot="1">
      <c r="A18" s="44">
        <v>8</v>
      </c>
      <c r="B18" s="493">
        <f>IF($L18="","",VLOOKUP($L18,Honden,2,FALSE))</f>
      </c>
      <c r="C18" s="494"/>
      <c r="D18" s="494"/>
      <c r="E18" s="493">
        <f>IF($L18="","",VLOOKUP($L18,Honden,3,FALSE))</f>
      </c>
      <c r="F18" s="494"/>
      <c r="G18" s="494"/>
      <c r="H18" s="508">
        <f>IF($L18="","",VLOOKUP($L18,Honden,4,FALSE))</f>
      </c>
      <c r="I18" s="509"/>
      <c r="J18" s="75"/>
      <c r="K18" s="1">
        <f>IF($L18="","",VLOOKUP($L18,Honden!$B$2:$I$1200,8,))</f>
      </c>
      <c r="L18" s="495"/>
      <c r="M18" s="495"/>
      <c r="N18" s="485">
        <f>IF($L18="","",VLOOKUP($L18,Honden,5,FALSE))</f>
      </c>
      <c r="O18" s="485"/>
      <c r="P18" s="485"/>
      <c r="Q18" s="485" t="e">
        <v>#N/A</v>
      </c>
      <c r="R18" s="485"/>
      <c r="S18" s="485"/>
      <c r="T18" s="485" t="e">
        <v>#N/A</v>
      </c>
      <c r="U18" s="485"/>
      <c r="V18" s="486"/>
      <c r="W18" s="40"/>
      <c r="X18" s="41"/>
      <c r="Y18" s="42"/>
      <c r="Z18" s="43"/>
      <c r="AA18" s="22"/>
      <c r="AB18" s="23"/>
      <c r="AC18" s="23"/>
      <c r="AD18" s="23"/>
      <c r="AE18" s="24"/>
      <c r="AR18" s="464">
        <f>IF($L18="","",VLOOKUP($L18,Honden,6,FALSE))</f>
      </c>
      <c r="AS18" s="465">
        <f t="shared" si="0"/>
        <v>99</v>
      </c>
      <c r="AT18" s="25">
        <f>IF($L18="","",VLOOKUP($L18,Honden!$B$2:$L$1200,9,))</f>
      </c>
      <c r="AU18" s="25">
        <f>IF($L18="","",VLOOKUP($L18,Honden!$B$2:$L$1200,11,))</f>
      </c>
      <c r="AV18" s="473">
        <f>IF($L18="","",VLOOKUP($L18,Honden!$B$2:$L$1200,6,))</f>
      </c>
      <c r="AW18" s="473">
        <f>IF($L18="","",VLOOKUP($L18,Honden!$B$2:$L$1200,7,))</f>
      </c>
    </row>
    <row r="19" spans="1:49" s="25" customFormat="1" ht="15" customHeight="1" thickBot="1">
      <c r="A19" s="46">
        <v>9</v>
      </c>
      <c r="B19" s="493">
        <f>IF($L19="","",VLOOKUP($L19,Honden,2,FALSE))</f>
      </c>
      <c r="C19" s="494"/>
      <c r="D19" s="494"/>
      <c r="E19" s="493">
        <f>IF($L19="","",VLOOKUP($L19,Honden,3,FALSE))</f>
      </c>
      <c r="F19" s="494"/>
      <c r="G19" s="494"/>
      <c r="H19" s="508">
        <f>IF($L19="","",VLOOKUP($L19,Honden,4,FALSE))</f>
      </c>
      <c r="I19" s="509"/>
      <c r="J19" s="75"/>
      <c r="K19" s="1">
        <f>IF($L19="","",VLOOKUP($L19,Honden!$B$2:$I$1200,8,))</f>
      </c>
      <c r="L19" s="495"/>
      <c r="M19" s="495"/>
      <c r="N19" s="485">
        <f>IF($L19="","",VLOOKUP($L19,Honden,5,FALSE))</f>
      </c>
      <c r="O19" s="485"/>
      <c r="P19" s="485"/>
      <c r="Q19" s="485" t="e">
        <v>#N/A</v>
      </c>
      <c r="R19" s="485"/>
      <c r="S19" s="485"/>
      <c r="T19" s="485" t="e">
        <v>#N/A</v>
      </c>
      <c r="U19" s="485"/>
      <c r="V19" s="486"/>
      <c r="W19" s="47"/>
      <c r="X19" s="48"/>
      <c r="Y19" s="49"/>
      <c r="Z19" s="50"/>
      <c r="AA19" s="22"/>
      <c r="AB19" s="23"/>
      <c r="AC19" s="23"/>
      <c r="AD19" s="23"/>
      <c r="AE19" s="566">
        <v>1</v>
      </c>
      <c r="AF19" s="567"/>
      <c r="AG19" s="566">
        <v>2</v>
      </c>
      <c r="AH19" s="567"/>
      <c r="AI19" s="566">
        <v>3</v>
      </c>
      <c r="AJ19" s="567"/>
      <c r="AK19" s="566">
        <v>4</v>
      </c>
      <c r="AL19" s="567"/>
      <c r="AM19" s="566">
        <v>5</v>
      </c>
      <c r="AN19" s="567"/>
      <c r="AO19" s="566">
        <v>6</v>
      </c>
      <c r="AP19" s="567"/>
      <c r="AR19" s="464">
        <f>IF($L19="","",VLOOKUP($L19,Honden,6,FALSE))</f>
      </c>
      <c r="AS19" s="465">
        <f t="shared" si="0"/>
        <v>99</v>
      </c>
      <c r="AT19" s="25">
        <f>IF($L19="","",VLOOKUP($L19,Honden!$B$2:$L$1200,9,))</f>
      </c>
      <c r="AU19" s="25">
        <f>IF($L19="","",VLOOKUP($L19,Honden!$B$2:$L$1200,11,))</f>
      </c>
      <c r="AV19" s="473">
        <f>IF($L19="","",VLOOKUP($L19,Honden!$B$2:$L$1200,6,))</f>
      </c>
      <c r="AW19" s="473">
        <f>IF($L19="","",VLOOKUP($L19,Honden!$B$2:$L$1200,7,))</f>
      </c>
    </row>
    <row r="20" spans="1:42" ht="6" customHeight="1">
      <c r="A20" s="32"/>
      <c r="B20" s="32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</row>
    <row r="21" spans="1:44" ht="15" customHeight="1">
      <c r="A21" s="364"/>
      <c r="B21" s="54"/>
      <c r="C21" s="365"/>
      <c r="D21" s="32"/>
      <c r="E21" s="55" t="str">
        <f>VLOOKUP("race",'[1]Strings'!$A$3:$K$102,'[1]Strings'!$A$1,FALSE)</f>
        <v>Rennen</v>
      </c>
      <c r="F21" s="55" t="str">
        <f>VLOOKUP("baan / piste",'[1]Strings'!$A$3:$K$102,'[1]Strings'!$A$1,FALSE)</f>
        <v>Bahn</v>
      </c>
      <c r="G21" s="55"/>
      <c r="H21" s="476" t="str">
        <f>VLOOKUP("tegen / contre",'[1]Strings'!$A$3:$K$102,'[1]Strings'!$A$1,FALSE)</f>
        <v>gegen</v>
      </c>
      <c r="I21" s="476"/>
      <c r="J21" s="476"/>
      <c r="K21" s="476"/>
      <c r="L21" s="477"/>
      <c r="M21" s="477" t="str">
        <f>VLOOKUP("heat",'[1]Strings'!$A$3:$K$102,'[1]Strings'!$A$1,FALSE)</f>
        <v>Lauf</v>
      </c>
      <c r="N21" s="477"/>
      <c r="O21" s="476" t="str">
        <f>VLOOKUP("Honden / chiens",'[1]Strings'!$A$3:$K$102,'[1]Strings'!$A$1,FALSE)</f>
        <v>Hunde</v>
      </c>
      <c r="P21" s="476"/>
      <c r="Q21" s="476"/>
      <c r="R21" s="476"/>
      <c r="S21" s="476"/>
      <c r="T21" s="476"/>
      <c r="U21" s="162" t="str">
        <f>VLOOKUP("          Tijd/temps",'[1]Strings'!$A$3:$K$102,'[1]Strings'!$A$1,FALSE)</f>
        <v>           Zeit</v>
      </c>
      <c r="V21" s="163"/>
      <c r="W21" s="163"/>
      <c r="X21" s="163"/>
      <c r="Y21" s="161" t="str">
        <f>VLOOKUP("    W / L / T",'[1]Strings'!$A$3:$K$102,'[1]Strings'!$A$1,FALSE)</f>
        <v>    W/L/T</v>
      </c>
      <c r="Z21" s="55"/>
      <c r="AA21" s="56"/>
      <c r="AB21" s="55"/>
      <c r="AC21" s="55"/>
      <c r="AD21" s="55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0"/>
      <c r="AR21" s="478"/>
    </row>
    <row r="22" spans="1:44" ht="15" customHeight="1">
      <c r="A22" s="366"/>
      <c r="B22" s="32"/>
      <c r="C22" s="367"/>
      <c r="D22" s="32"/>
      <c r="E22" s="488">
        <f>RR4!G3</f>
        <v>2</v>
      </c>
      <c r="F22" s="59" t="str">
        <f>IF(RR4!I3="rood",VLOOKUP("Rood / Rouge",'[1]Strings'!$A$3:$K$102,'[1]Strings'!$A$1,FALSE),"")</f>
        <v>Rot</v>
      </c>
      <c r="H22" s="478" t="str">
        <f>VLOOKUP(E22&amp;$C$3,RR4!$U$5:$AV$33,28,FALSE)</f>
        <v>Flying Stars</v>
      </c>
      <c r="I22" s="478"/>
      <c r="J22" s="478"/>
      <c r="K22" s="478"/>
      <c r="L22" s="479"/>
      <c r="M22" s="491">
        <v>1</v>
      </c>
      <c r="N22" s="492"/>
      <c r="O22" s="12">
        <v>2</v>
      </c>
      <c r="P22" s="12">
        <v>5</v>
      </c>
      <c r="Q22" s="12">
        <v>3</v>
      </c>
      <c r="R22" s="12">
        <v>4</v>
      </c>
      <c r="S22" s="468"/>
      <c r="T22" s="469"/>
      <c r="U22" s="61">
        <f>IF(V22="","",IF(COUNT(O22:T22)&lt;&gt;4,"X",""))</f>
      </c>
      <c r="V22" s="480">
        <v>40.03</v>
      </c>
      <c r="W22" s="481"/>
      <c r="X22" s="481"/>
      <c r="Y22" s="61">
        <f>IF($V22="","",IF($R$3&gt;$V22,"X",""))</f>
      </c>
      <c r="Z22" s="12" t="s">
        <v>2994</v>
      </c>
      <c r="AA22" s="11">
        <f>IF(OR(AND(V22="",Z22&lt;&gt;""),AND(V22&lt;&gt;"",Z22=""),AND(V22="w",Z22&lt;&gt;"w"),AND(V22="nt",Z22="w"),RR4!J4="x"),"x","")</f>
      </c>
      <c r="AB22" s="61"/>
      <c r="AC22" s="61"/>
      <c r="AE22" s="62" t="str">
        <f>IF(AND(COUNT($V22)=1,OR($O22=1,$P22=1,$Q22=1,$R22=1,$S22=1,$T22=1)),INT($V22),"x")</f>
        <v>x</v>
      </c>
      <c r="AF22" s="63">
        <f>IF(AE22="x","",IF(AE22=SMALL($AE$22:$AE$76,1),AE22,""))</f>
      </c>
      <c r="AG22" s="62">
        <f>IF(AND(COUNT($V22)=1,OR($O22=2,$P22=2,$Q22=2,$R22=2,$S22=2,$T22=2)),INT($V22),"x")</f>
        <v>40</v>
      </c>
      <c r="AH22" s="63">
        <f>IF(AG22="x","",IF(AG22=SMALL($AG$22:$AG$76,1),AG22,""))</f>
      </c>
      <c r="AI22" s="62">
        <f>IF(AND(COUNT($V22)=1,OR($O22=3,$P22=3,$Q22=3,$R22=3,$S22=3,$T22=3)),INT($V22),"x")</f>
        <v>40</v>
      </c>
      <c r="AJ22" s="63">
        <f>IF(AI22="x","",IF(AI22=SMALL($AI$22:$AI$76,1),AI22,""))</f>
      </c>
      <c r="AK22" s="62">
        <f>IF(AND(COUNT($V22)=1,OR($O22=4,$P22=4,$Q22=4,$R22=4,$S22=4,$T22=4)),INT($V22),"x")</f>
        <v>40</v>
      </c>
      <c r="AL22" s="63">
        <f>IF(AK22="x","",IF(AK22=SMALL($AK$22:$AK$76,1),AK22,""))</f>
      </c>
      <c r="AM22" s="62">
        <f>IF(AND(COUNT($V22)=1,OR($O22=5,$P22=5,$Q22=5,$R22=5,$S22=5,$T22=5)),INT($V22),"x")</f>
        <v>40</v>
      </c>
      <c r="AN22" s="63">
        <f>IF(AM22="x","",IF(AM22=SMALL($AM$22:$AM$76,1),AM22,""))</f>
      </c>
      <c r="AO22" s="62" t="str">
        <f>IF(AND(COUNT($V22)=1,OR($O22=6,$P22=6,$Q22=6,$R22=6,$S22=6,$T22=6)),INT($V22),"x")</f>
        <v>x</v>
      </c>
      <c r="AP22" s="63">
        <f>IF(AO22="x","",IF(AO22=SMALL($AO$22:$AO$76,1),AO22,""))</f>
      </c>
      <c r="AQ22" s="64"/>
      <c r="AR22" s="32"/>
    </row>
    <row r="23" spans="1:44" ht="15" customHeight="1">
      <c r="A23" s="366"/>
      <c r="B23" s="32"/>
      <c r="C23" s="367"/>
      <c r="D23" s="32"/>
      <c r="E23" s="489"/>
      <c r="F23" s="59">
        <f>IF(RR4!I3="blauw",VLOOKUP("Blauw / Bleu",'[1]Strings'!$A$3:$K$102,'[1]Strings'!$A$1,FALSE),"")</f>
      </c>
      <c r="H23" s="490">
        <f>IF(OR(U22="x",Y22="x",AA22="x"),"CONTROLEER INVOER       HEAT 1",IF(OR(U23="x",Y23="x",AA23="x"),"CONTROLEER INVOER       HEAT 2",IF(OR(U24="x",Y24="x",AA24="x"),"CONTROLEER INVOER       HEAT 3",IF(OR(U25="x",Y25="x",AA25="x"),"CONTROLEER INVOER       HEAT 4",IF(OR(U26="x",Y26="x",AA26="x"),"CONTROLEER INVOER       HEAT 5","")))))</f>
      </c>
      <c r="I23" s="490"/>
      <c r="J23" s="490"/>
      <c r="K23" s="490"/>
      <c r="L23" s="490"/>
      <c r="M23" s="491">
        <v>2</v>
      </c>
      <c r="N23" s="492"/>
      <c r="O23" s="12">
        <v>2</v>
      </c>
      <c r="P23" s="12">
        <v>5</v>
      </c>
      <c r="Q23" s="12">
        <v>3</v>
      </c>
      <c r="R23" s="12">
        <v>4</v>
      </c>
      <c r="S23" s="468"/>
      <c r="T23" s="469"/>
      <c r="U23" s="61">
        <f>IF(V23="","",IF(COUNT(O23:T23)&lt;&gt;4,"X",""))</f>
      </c>
      <c r="V23" s="480">
        <v>40.92</v>
      </c>
      <c r="W23" s="481"/>
      <c r="X23" s="481"/>
      <c r="Y23" s="61">
        <f>IF($V23="","",IF($R$3&gt;$V23,"X",""))</f>
      </c>
      <c r="Z23" s="12" t="s">
        <v>2994</v>
      </c>
      <c r="AA23" s="11">
        <f>IF(OR(AND(V23="",Z23&lt;&gt;""),AND(V23&lt;&gt;"",Z23=""),AND(V23="w",Z23&lt;&gt;"w"),AND(V23="nt",Z23="w"),RR4!J5="x"),"x","")</f>
      </c>
      <c r="AB23" s="61"/>
      <c r="AC23" s="61"/>
      <c r="AE23" s="62" t="str">
        <f>IF(AND(COUNT($V23)=1,OR($O23=1,$P23=1,$Q23=1,$R23=1,$S23=1,$T23=1)),INT($V23),"x")</f>
        <v>x</v>
      </c>
      <c r="AF23" s="63">
        <f>IF(AE23="x","",IF(AE23=SMALL($AE$22:$AE$76,1),AE23,""))</f>
      </c>
      <c r="AG23" s="62">
        <f>IF(AND(COUNT($V23)=1,OR($O23=2,$P23=2,$Q23=2,$R23=2,$S23=2,$T23=2)),INT($V23),"x")</f>
        <v>40</v>
      </c>
      <c r="AH23" s="63">
        <f>IF(AG23="x","",IF(AG23=SMALL($AG$22:$AG$76,1),AG23,""))</f>
      </c>
      <c r="AI23" s="62">
        <f>IF(AND(COUNT($V23)=1,OR($O23=3,$P23=3,$Q23=3,$R23=3,$S23=3,$T23=3)),INT($V23),"x")</f>
        <v>40</v>
      </c>
      <c r="AJ23" s="63">
        <f>IF(AI23="x","",IF(AI23=SMALL($AI$22:$AI$76,1),AI23,""))</f>
      </c>
      <c r="AK23" s="62">
        <f>IF(AND(COUNT($V23)=1,OR($O23=4,$P23=4,$Q23=4,$R23=4,$S23=4,$T23=4)),INT($V23),"x")</f>
        <v>40</v>
      </c>
      <c r="AL23" s="63">
        <f>IF(AK23="x","",IF(AK23=SMALL($AK$22:$AK$76,1),AK23,""))</f>
      </c>
      <c r="AM23" s="62">
        <f>IF(AND(COUNT($V23)=1,OR($O23=5,$P23=5,$Q23=5,$R23=5,$S23=5,$T23=5)),INT($V23),"x")</f>
        <v>40</v>
      </c>
      <c r="AN23" s="63">
        <f>IF(AM23="x","",IF(AM23=SMALL($AM$22:$AM$76,1),AM23,""))</f>
      </c>
      <c r="AO23" s="62" t="str">
        <f>IF(AND(COUNT($V23)=1,OR($O23=6,$P23=6,$Q23=6,$R23=6,$S23=6,$T23=6)),INT($V23),"x")</f>
        <v>x</v>
      </c>
      <c r="AP23" s="63">
        <f>IF(AO23="x","",IF(AO23=SMALL($AO$22:$AO$76,1),AO23,""))</f>
      </c>
      <c r="AQ23" s="64"/>
      <c r="AR23" s="32"/>
    </row>
    <row r="24" spans="1:44" ht="15" customHeight="1">
      <c r="A24" s="366"/>
      <c r="B24" s="32"/>
      <c r="C24" s="367"/>
      <c r="D24" s="32"/>
      <c r="E24" s="2" t="str">
        <f>uitslagen!$B$2</f>
        <v>RR</v>
      </c>
      <c r="H24" s="490"/>
      <c r="I24" s="490"/>
      <c r="J24" s="490"/>
      <c r="K24" s="490"/>
      <c r="L24" s="490"/>
      <c r="M24" s="491">
        <v>3</v>
      </c>
      <c r="N24" s="492"/>
      <c r="O24" s="12">
        <v>2</v>
      </c>
      <c r="P24" s="12">
        <v>5</v>
      </c>
      <c r="Q24" s="12">
        <v>3</v>
      </c>
      <c r="R24" s="12">
        <v>4</v>
      </c>
      <c r="S24" s="468"/>
      <c r="T24" s="469"/>
      <c r="U24" s="61">
        <f>IF(V24="","",IF(COUNT(O24:T24)&lt;&gt;4,"X",""))</f>
      </c>
      <c r="V24" s="480">
        <v>53.24</v>
      </c>
      <c r="W24" s="481"/>
      <c r="X24" s="481"/>
      <c r="Y24" s="61">
        <f>IF($V24="","",IF($R$3&gt;$V24,"X",""))</f>
      </c>
      <c r="Z24" s="12" t="s">
        <v>2992</v>
      </c>
      <c r="AA24" s="11">
        <f>IF(OR(AND(V24="",Z24&lt;&gt;""),AND(V24&lt;&gt;"",Z24=""),AND(V24="w",Z24&lt;&gt;"w"),AND(V24="nt",Z24="w"),RR4!J6="x"),"x","")</f>
      </c>
      <c r="AB24" s="61"/>
      <c r="AC24" s="61"/>
      <c r="AE24" s="62" t="str">
        <f>IF(AND(COUNT($V24)=1,OR($O24=1,$P24=1,$Q24=1,$R24=1,$S24=1,$T24=1)),INT($V24),"x")</f>
        <v>x</v>
      </c>
      <c r="AF24" s="63">
        <f>IF(AE24="x","",IF(AE24=SMALL($AE$22:$AE$76,1),AE24,""))</f>
      </c>
      <c r="AG24" s="62">
        <f>IF(AND(COUNT($V24)=1,OR($O24=2,$P24=2,$Q24=2,$R24=2,$S24=2,$T24=2)),INT($V24),"x")</f>
        <v>53</v>
      </c>
      <c r="AH24" s="63">
        <f>IF(AG24="x","",IF(AG24=SMALL($AG$22:$AG$76,1),AG24,""))</f>
      </c>
      <c r="AI24" s="62">
        <f>IF(AND(COUNT($V24)=1,OR($O24=3,$P24=3,$Q24=3,$R24=3,$S24=3,$T24=3)),INT($V24),"x")</f>
        <v>53</v>
      </c>
      <c r="AJ24" s="63">
        <f>IF(AI24="x","",IF(AI24=SMALL($AI$22:$AI$76,1),AI24,""))</f>
      </c>
      <c r="AK24" s="62">
        <f>IF(AND(COUNT($V24)=1,OR($O24=4,$P24=4,$Q24=4,$R24=4,$S24=4,$T24=4)),INT($V24),"x")</f>
        <v>53</v>
      </c>
      <c r="AL24" s="63">
        <f>IF(AK24="x","",IF(AK24=SMALL($AK$22:$AK$76,1),AK24,""))</f>
      </c>
      <c r="AM24" s="62">
        <f>IF(AND(COUNT($V24)=1,OR($O24=5,$P24=5,$Q24=5,$R24=5,$S24=5,$T24=5)),INT($V24),"x")</f>
        <v>53</v>
      </c>
      <c r="AN24" s="63">
        <f>IF(AM24="x","",IF(AM24=SMALL($AM$22:$AM$76,1),AM24,""))</f>
      </c>
      <c r="AO24" s="62" t="str">
        <f>IF(AND(COUNT($V24)=1,OR($O24=6,$P24=6,$Q24=6,$R24=6,$S24=6,$T24=6)),INT($V24),"x")</f>
        <v>x</v>
      </c>
      <c r="AP24" s="63">
        <f>IF(AO24="x","",IF(AO24=SMALL($AO$22:$AO$76,1),AO24,""))</f>
      </c>
      <c r="AQ24" s="64"/>
      <c r="AR24" s="32"/>
    </row>
    <row r="25" spans="1:44" ht="15" customHeight="1">
      <c r="A25" s="366"/>
      <c r="B25" s="32"/>
      <c r="C25" s="367"/>
      <c r="D25" s="32"/>
      <c r="H25" s="490"/>
      <c r="I25" s="490"/>
      <c r="J25" s="490"/>
      <c r="K25" s="490"/>
      <c r="L25" s="490"/>
      <c r="M25" s="491">
        <v>4</v>
      </c>
      <c r="N25" s="492"/>
      <c r="O25" s="12">
        <v>2</v>
      </c>
      <c r="P25" s="12">
        <v>5</v>
      </c>
      <c r="Q25" s="12">
        <v>3</v>
      </c>
      <c r="R25" s="12">
        <v>4</v>
      </c>
      <c r="S25" s="468"/>
      <c r="T25" s="469"/>
      <c r="U25" s="61">
        <f>IF(V25="","",IF(COUNT(O25:T25)&lt;&gt;4,"X",""))</f>
      </c>
      <c r="V25" s="480" t="s">
        <v>2993</v>
      </c>
      <c r="W25" s="481"/>
      <c r="X25" s="481"/>
      <c r="Y25" s="61">
        <f>IF($V25="","",IF($R$3&gt;$V25,"X",""))</f>
      </c>
      <c r="Z25" s="12" t="s">
        <v>2994</v>
      </c>
      <c r="AA25" s="11">
        <f>IF(OR(AND(V25="",Z25&lt;&gt;""),AND(V25&lt;&gt;"",Z25=""),AND(V25="w",Z25&lt;&gt;"w"),AND(V25="nt",Z25="w"),RR4!J7="x"),"x","")</f>
      </c>
      <c r="AB25" s="61"/>
      <c r="AC25" s="61"/>
      <c r="AE25" s="62" t="str">
        <f>IF(AND(COUNT($V25)=1,OR($O25=1,$P25=1,$Q25=1,$R25=1,$S25=1,$T25=1)),INT($V25),"x")</f>
        <v>x</v>
      </c>
      <c r="AF25" s="63">
        <f>IF(AE25="x","",IF(AE25=SMALL($AE$22:$AE$76,1),AE25,""))</f>
      </c>
      <c r="AG25" s="62" t="str">
        <f>IF(AND(COUNT($V25)=1,OR($O25=2,$P25=2,$Q25=2,$R25=2,$S25=2,$T25=2)),INT($V25),"x")</f>
        <v>x</v>
      </c>
      <c r="AH25" s="63">
        <f>IF(AG25="x","",IF(AG25=SMALL($AG$22:$AG$76,1),AG25,""))</f>
      </c>
      <c r="AI25" s="62" t="str">
        <f>IF(AND(COUNT($V25)=1,OR($O25=3,$P25=3,$Q25=3,$R25=3,$S25=3,$T25=3)),INT($V25),"x")</f>
        <v>x</v>
      </c>
      <c r="AJ25" s="63">
        <f>IF(AI25="x","",IF(AI25=SMALL($AI$22:$AI$76,1),AI25,""))</f>
      </c>
      <c r="AK25" s="62" t="str">
        <f>IF(AND(COUNT($V25)=1,OR($O25=4,$P25=4,$Q25=4,$R25=4,$S25=4,$T25=4)),INT($V25),"x")</f>
        <v>x</v>
      </c>
      <c r="AL25" s="63">
        <f>IF(AK25="x","",IF(AK25=SMALL($AK$22:$AK$76,1),AK25,""))</f>
      </c>
      <c r="AM25" s="62" t="str">
        <f>IF(AND(COUNT($V25)=1,OR($O25=5,$P25=5,$Q25=5,$R25=5,$S25=5,$T25=5)),INT($V25),"x")</f>
        <v>x</v>
      </c>
      <c r="AN25" s="63">
        <f>IF(AM25="x","",IF(AM25=SMALL($AM$22:$AM$76,1),AM25,""))</f>
      </c>
      <c r="AO25" s="62" t="str">
        <f>IF(AND(COUNT($V25)=1,OR($O25=6,$P25=6,$Q25=6,$R25=6,$S25=6,$T25=6)),INT($V25),"x")</f>
        <v>x</v>
      </c>
      <c r="AP25" s="63">
        <f>IF(AO25="x","",IF(AO25=SMALL($AO$22:$AO$76,1),AO25,""))</f>
      </c>
      <c r="AQ25" s="64"/>
      <c r="AR25" s="32"/>
    </row>
    <row r="26" spans="1:44" ht="15" customHeight="1">
      <c r="A26" s="366"/>
      <c r="B26" s="32"/>
      <c r="C26" s="367"/>
      <c r="D26" s="32"/>
      <c r="H26" s="490"/>
      <c r="I26" s="490"/>
      <c r="J26" s="490"/>
      <c r="K26" s="490"/>
      <c r="L26" s="490"/>
      <c r="M26" s="491">
        <v>5</v>
      </c>
      <c r="N26" s="492"/>
      <c r="O26" s="12"/>
      <c r="P26" s="12"/>
      <c r="Q26" s="12"/>
      <c r="R26" s="12"/>
      <c r="S26" s="468"/>
      <c r="T26" s="469"/>
      <c r="U26" s="61">
        <f>IF(V26="","",IF(COUNT(O26:T26)&lt;&gt;4,"X",""))</f>
      </c>
      <c r="V26" s="480"/>
      <c r="W26" s="481"/>
      <c r="X26" s="481"/>
      <c r="Y26" s="61">
        <f>IF($V26="","",IF($R$3&gt;$V26,"X",""))</f>
      </c>
      <c r="Z26" s="12"/>
      <c r="AA26" s="11">
        <f>IF(OR(AND(V26="",Z26&lt;&gt;""),AND(V26&lt;&gt;"",Z26=""),AND(V26="w",Z26&lt;&gt;"w"),AND(V26="nt",Z26="w"),RR4!J8="x"),"x","")</f>
      </c>
      <c r="AB26" s="61"/>
      <c r="AC26" s="61"/>
      <c r="AE26" s="65" t="str">
        <f>IF(AND(COUNT($V26)=1,OR($O26=1,$P26=1,$Q26=1,$R26=1,$S26=1,$T26=1)),INT($V26),"x")</f>
        <v>x</v>
      </c>
      <c r="AF26" s="66">
        <f>IF(AE26="x","",IF(AE26=SMALL($AE$22:$AE$76,1),AE26,""))</f>
      </c>
      <c r="AG26" s="65" t="str">
        <f>IF(AND(COUNT($V26)=1,OR($O26=2,$P26=2,$Q26=2,$R26=2,$S26=2,$T26=2)),INT($V26),"x")</f>
        <v>x</v>
      </c>
      <c r="AH26" s="63">
        <f>IF(AG26="x","",IF(AG26=SMALL($AG$22:$AG$76,1),AG26,""))</f>
      </c>
      <c r="AI26" s="65" t="str">
        <f>IF(AND(COUNT($V26)=1,OR($O26=3,$P26=3,$Q26=3,$R26=3,$S26=3,$T26=3)),INT($V26),"x")</f>
        <v>x</v>
      </c>
      <c r="AJ26" s="63">
        <f>IF(AI26="x","",IF(AI26=SMALL($AI$22:$AI$76,1),AI26,""))</f>
      </c>
      <c r="AK26" s="65" t="str">
        <f>IF(AND(COUNT($V26)=1,OR($O26=4,$P26=4,$Q26=4,$R26=4,$S26=4,$T26=4)),INT($V26),"x")</f>
        <v>x</v>
      </c>
      <c r="AL26" s="63">
        <f>IF(AK26="x","",IF(AK26=SMALL($AK$22:$AK$76,1),AK26,""))</f>
      </c>
      <c r="AM26" s="65" t="str">
        <f>IF(AND(COUNT($V26)=1,OR($O26=5,$P26=5,$Q26=5,$R26=5,$S26=5,$T26=5)),INT($V26),"x")</f>
        <v>x</v>
      </c>
      <c r="AN26" s="63">
        <f>IF(AM26="x","",IF(AM26=SMALL($AM$22:$AM$76,1),AM26,""))</f>
      </c>
      <c r="AO26" s="65" t="str">
        <f>IF(AND(COUNT($V26)=1,OR($O26=6,$P26=6,$Q26=6,$R26=6,$S26=6,$T26=6)),INT($V26),"x")</f>
        <v>x</v>
      </c>
      <c r="AP26" s="63">
        <f>IF(AO26="x","",IF(AO26=SMALL($AO$22:$AO$76,1),AO26,""))</f>
      </c>
      <c r="AQ26" s="64"/>
      <c r="AR26" s="32"/>
    </row>
    <row r="27" spans="1:42" ht="3.75" customHeight="1">
      <c r="A27" s="366"/>
      <c r="B27" s="32"/>
      <c r="C27" s="3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487"/>
      <c r="W27" s="487"/>
      <c r="X27" s="487"/>
      <c r="Y27" s="67"/>
      <c r="Z27" s="76"/>
      <c r="AA27" s="68"/>
      <c r="AB27" s="61"/>
      <c r="AC27" s="61"/>
      <c r="AE27" s="69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4" ht="15" customHeight="1">
      <c r="A28" s="366"/>
      <c r="B28" s="32"/>
      <c r="C28" s="367"/>
      <c r="D28" s="32"/>
      <c r="E28" s="55" t="str">
        <f>VLOOKUP("race",'[1]Strings'!$A$3:$K$102,'[1]Strings'!$A$1,FALSE)</f>
        <v>Rennen</v>
      </c>
      <c r="F28" s="55" t="str">
        <f>VLOOKUP("baan / piste",'[1]Strings'!$A$3:$K$102,'[1]Strings'!$A$1,FALSE)</f>
        <v>Bahn</v>
      </c>
      <c r="G28" s="55"/>
      <c r="H28" s="476" t="str">
        <f>VLOOKUP("tegen / contre",'[1]Strings'!$A$3:$K$102,'[1]Strings'!$A$1,FALSE)</f>
        <v>gegen</v>
      </c>
      <c r="I28" s="476"/>
      <c r="J28" s="476"/>
      <c r="K28" s="476"/>
      <c r="L28" s="477"/>
      <c r="M28" s="477" t="str">
        <f>VLOOKUP("heat",'[1]Strings'!$A$3:$K$102,'[1]Strings'!$A$1,FALSE)</f>
        <v>Lauf</v>
      </c>
      <c r="N28" s="477"/>
      <c r="O28" s="476" t="str">
        <f>VLOOKUP("Honden / chiens",'[1]Strings'!$A$3:$K$102,'[1]Strings'!$A$1,FALSE)</f>
        <v>Hunde</v>
      </c>
      <c r="P28" s="476"/>
      <c r="Q28" s="476"/>
      <c r="R28" s="476"/>
      <c r="S28" s="476"/>
      <c r="T28" s="476"/>
      <c r="U28" s="162" t="str">
        <f>VLOOKUP("          Tijd/temps",'[1]Strings'!$A$3:$K$102,'[1]Strings'!$A$1,FALSE)</f>
        <v>           Zeit</v>
      </c>
      <c r="V28" s="163"/>
      <c r="W28" s="163"/>
      <c r="X28" s="163"/>
      <c r="Y28" s="161" t="str">
        <f>VLOOKUP("    W / L / T",'[1]Strings'!$A$3:$K$102,'[1]Strings'!$A$1,FALSE)</f>
        <v>    W/L/T</v>
      </c>
      <c r="Z28" s="55"/>
      <c r="AA28" s="68"/>
      <c r="AB28" s="61"/>
      <c r="AC28" s="61"/>
      <c r="AD28" s="55"/>
      <c r="AE28" s="70"/>
      <c r="AF28" s="67"/>
      <c r="AG28" s="70"/>
      <c r="AH28" s="67"/>
      <c r="AI28" s="70"/>
      <c r="AJ28" s="67"/>
      <c r="AK28" s="70"/>
      <c r="AL28" s="67"/>
      <c r="AM28" s="70"/>
      <c r="AN28" s="67"/>
      <c r="AO28" s="70"/>
      <c r="AP28" s="67"/>
      <c r="AQ28" s="565"/>
      <c r="AR28" s="478"/>
    </row>
    <row r="29" spans="1:44" ht="15" customHeight="1">
      <c r="A29" s="366"/>
      <c r="B29" s="32"/>
      <c r="C29" s="367"/>
      <c r="D29" s="32"/>
      <c r="E29" s="488">
        <f>RR4!G10</f>
        <v>4</v>
      </c>
      <c r="F29" s="59">
        <f>IF(RR4!I10="rood",VLOOKUP("Rood / Rouge",'[1]Strings'!$A$3:$K$102,'[1]Strings'!$A$1,FALSE),"")</f>
      </c>
      <c r="H29" s="478" t="str">
        <f>VLOOKUP(E29&amp;$C$3,RR4!$U$5:$AV$33,28,FALSE)</f>
        <v>Fast'nFurious Flyballteam</v>
      </c>
      <c r="I29" s="478"/>
      <c r="J29" s="478"/>
      <c r="K29" s="478"/>
      <c r="L29" s="479"/>
      <c r="M29" s="491">
        <v>1</v>
      </c>
      <c r="N29" s="492"/>
      <c r="O29" s="12">
        <v>2</v>
      </c>
      <c r="P29" s="12">
        <v>5</v>
      </c>
      <c r="Q29" s="12">
        <v>1</v>
      </c>
      <c r="R29" s="12">
        <v>4</v>
      </c>
      <c r="S29" s="468"/>
      <c r="T29" s="469"/>
      <c r="U29" s="61">
        <f>IF(V29="","",IF(COUNT(O29:T29)&lt;&gt;4,"X",""))</f>
      </c>
      <c r="V29" s="480" t="s">
        <v>2993</v>
      </c>
      <c r="W29" s="481"/>
      <c r="X29" s="481"/>
      <c r="Y29" s="61">
        <f>IF($V29="","",IF($R$3&gt;$V29,"X",""))</f>
      </c>
      <c r="Z29" s="12" t="s">
        <v>2994</v>
      </c>
      <c r="AA29" s="11">
        <f>IF(OR(AND(V29="",Z29&lt;&gt;""),AND(V29&lt;&gt;"",Z29=""),AND(V29="w",Z29&lt;&gt;"w"),AND(V29="nt",Z29="w"),RR4!J11="x"),"x","")</f>
      </c>
      <c r="AB29" s="61"/>
      <c r="AC29" s="61"/>
      <c r="AE29" s="62" t="str">
        <f>IF(AND(COUNT($V29)=1,OR($O29=1,$P29=1,$Q29=1,$R29=1,$S29=1,$T29=1)),INT($V29),"x")</f>
        <v>x</v>
      </c>
      <c r="AF29" s="63">
        <f>IF(AE29="x","",IF(AE29=SMALL($AE$22:$AE$76,1),AE29,""))</f>
      </c>
      <c r="AG29" s="62" t="str">
        <f>IF(AND(COUNT($V29)=1,OR($O29=2,$P29=2,$Q29=2,$R29=2,$S29=2,$T29=2)),INT($V29),"x")</f>
        <v>x</v>
      </c>
      <c r="AH29" s="63">
        <f>IF(AG29="x","",IF(AG29=SMALL($AG$22:$AG$76,1),AG29,""))</f>
      </c>
      <c r="AI29" s="62" t="str">
        <f>IF(AND(COUNT($V29)=1,OR($O29=3,$P29=3,$Q29=3,$R29=3,$S29=3,$T29=3)),INT($V29),"x")</f>
        <v>x</v>
      </c>
      <c r="AJ29" s="63">
        <f>IF(AI29="x","",IF(AI29=SMALL($AI$22:$AI$76,1),AI29,""))</f>
      </c>
      <c r="AK29" s="62" t="str">
        <f>IF(AND(COUNT($V29)=1,OR($O29=4,$P29=4,$Q29=4,$R29=4,$S29=4,$T29=4)),INT($V29),"x")</f>
        <v>x</v>
      </c>
      <c r="AL29" s="63">
        <f>IF(AK29="x","",IF(AK29=SMALL($AK$22:$AK$76,1),AK29,""))</f>
      </c>
      <c r="AM29" s="62" t="str">
        <f>IF(AND(COUNT($V29)=1,OR($O29=5,$P29=5,$Q29=5,$R29=5,$S29=5,$T29=5)),INT($V29),"x")</f>
        <v>x</v>
      </c>
      <c r="AN29" s="63">
        <f>IF(AM29="x","",IF(AM29=SMALL($AM$22:$AM$76,1),AM29,""))</f>
      </c>
      <c r="AO29" s="62" t="str">
        <f>IF(AND(COUNT($V29)=1,OR($O29=6,$P29=6,$Q29=6,$R29=6,$S29=6,$T29=6)),INT($V29),"x")</f>
        <v>x</v>
      </c>
      <c r="AP29" s="63">
        <f>IF(AO29="x","",IF(AO29=SMALL($AO$22:$AO$76,1),AO29,""))</f>
      </c>
      <c r="AQ29" s="64"/>
      <c r="AR29" s="32"/>
    </row>
    <row r="30" spans="1:44" ht="15" customHeight="1">
      <c r="A30" s="366"/>
      <c r="B30" s="32"/>
      <c r="C30" s="367"/>
      <c r="D30" s="32"/>
      <c r="E30" s="489"/>
      <c r="F30" s="59" t="str">
        <f>IF(RR4!I10="blauw",VLOOKUP("Blauw / Bleu",'[1]Strings'!$A$3:$K$102,'[1]Strings'!$A$1,FALSE),"")</f>
        <v>Blau</v>
      </c>
      <c r="H30" s="490">
        <f>IF(OR(U29="x",Y29="x",AA29="x"),"CONTROLEER INVOER       HEAT 1",IF(OR(U30="x",Y30="x",AA30="x"),"CONTROLEER INVOER       HEAT 2",IF(OR(U31="x",Y31="x",AA31="x"),"CONTROLEER INVOER       HEAT 3",IF(OR(U32="x",Y32="x",AA32="x"),"CONTROLEER INVOER       HEAT 4",IF(OR(U33="x",Y33="x",AA33="x"),"CONTROLEER INVOER       HEAT 5","")))))</f>
      </c>
      <c r="I30" s="490"/>
      <c r="J30" s="490"/>
      <c r="K30" s="490"/>
      <c r="L30" s="490"/>
      <c r="M30" s="491">
        <v>2</v>
      </c>
      <c r="N30" s="492"/>
      <c r="O30" s="12">
        <v>2</v>
      </c>
      <c r="P30" s="12">
        <v>5</v>
      </c>
      <c r="Q30" s="12">
        <v>1</v>
      </c>
      <c r="R30" s="12">
        <v>4</v>
      </c>
      <c r="S30" s="468"/>
      <c r="T30" s="469"/>
      <c r="U30" s="61">
        <f>IF(V30="","",IF(COUNT(O30:T30)&lt;&gt;4,"X",""))</f>
      </c>
      <c r="V30" s="480" t="s">
        <v>2993</v>
      </c>
      <c r="W30" s="481"/>
      <c r="X30" s="481"/>
      <c r="Y30" s="61">
        <f>IF($V30="","",IF($R$3&gt;$V30,"X",""))</f>
      </c>
      <c r="Z30" s="12" t="s">
        <v>2994</v>
      </c>
      <c r="AA30" s="11">
        <f>IF(OR(AND(V30="",Z30&lt;&gt;""),AND(V30&lt;&gt;"",Z30=""),AND(V30="w",Z30&lt;&gt;"w"),AND(V30="nt",Z30="w"),RR4!J12="x"),"x","")</f>
      </c>
      <c r="AB30" s="61"/>
      <c r="AC30" s="61"/>
      <c r="AE30" s="62" t="str">
        <f>IF(AND(COUNT($V30)=1,OR($O30=1,$P30=1,$Q30=1,$R30=1,$S30=1,$T30=1)),INT($V30),"x")</f>
        <v>x</v>
      </c>
      <c r="AF30" s="63">
        <f>IF(AE30="x","",IF(AE30=SMALL($AE$22:$AE$76,1),AE30,""))</f>
      </c>
      <c r="AG30" s="62" t="str">
        <f>IF(AND(COUNT($V30)=1,OR($O30=2,$P30=2,$Q30=2,$R30=2,$S30=2,$T30=2)),INT($V30),"x")</f>
        <v>x</v>
      </c>
      <c r="AH30" s="63">
        <f>IF(AG30="x","",IF(AG30=SMALL($AG$22:$AG$76,1),AG30,""))</f>
      </c>
      <c r="AI30" s="62" t="str">
        <f>IF(AND(COUNT($V30)=1,OR($O30=3,$P30=3,$Q30=3,$R30=3,$S30=3,$T30=3)),INT($V30),"x")</f>
        <v>x</v>
      </c>
      <c r="AJ30" s="63">
        <f>IF(AI30="x","",IF(AI30=SMALL($AI$22:$AI$76,1),AI30,""))</f>
      </c>
      <c r="AK30" s="62" t="str">
        <f>IF(AND(COUNT($V30)=1,OR($O30=4,$P30=4,$Q30=4,$R30=4,$S30=4,$T30=4)),INT($V30),"x")</f>
        <v>x</v>
      </c>
      <c r="AL30" s="63">
        <f>IF(AK30="x","",IF(AK30=SMALL($AK$22:$AK$76,1),AK30,""))</f>
      </c>
      <c r="AM30" s="62" t="str">
        <f>IF(AND(COUNT($V30)=1,OR($O30=5,$P30=5,$Q30=5,$R30=5,$S30=5,$T30=5)),INT($V30),"x")</f>
        <v>x</v>
      </c>
      <c r="AN30" s="63">
        <f>IF(AM30="x","",IF(AM30=SMALL($AM$22:$AM$76,1),AM30,""))</f>
      </c>
      <c r="AO30" s="62" t="str">
        <f>IF(AND(COUNT($V30)=1,OR($O30=6,$P30=6,$Q30=6,$R30=6,$S30=6,$T30=6)),INT($V30),"x")</f>
        <v>x</v>
      </c>
      <c r="AP30" s="63">
        <f>IF(AO30="x","",IF(AO30=SMALL($AO$22:$AO$76,1),AO30,""))</f>
      </c>
      <c r="AQ30" s="64"/>
      <c r="AR30" s="32"/>
    </row>
    <row r="31" spans="1:44" ht="15" customHeight="1">
      <c r="A31" s="366"/>
      <c r="B31" s="32"/>
      <c r="C31" s="367"/>
      <c r="D31" s="32"/>
      <c r="E31" s="2" t="str">
        <f>uitslagen!$B$2</f>
        <v>RR</v>
      </c>
      <c r="H31" s="490"/>
      <c r="I31" s="490"/>
      <c r="J31" s="490"/>
      <c r="K31" s="490"/>
      <c r="L31" s="490"/>
      <c r="M31" s="491">
        <v>3</v>
      </c>
      <c r="N31" s="492"/>
      <c r="O31" s="12">
        <v>2</v>
      </c>
      <c r="P31" s="12">
        <v>5</v>
      </c>
      <c r="Q31" s="12">
        <v>1</v>
      </c>
      <c r="R31" s="12">
        <v>4</v>
      </c>
      <c r="S31" s="468"/>
      <c r="T31" s="469"/>
      <c r="U31" s="61">
        <f>IF(V31="","",IF(COUNT(O31:T31)&lt;&gt;4,"X",""))</f>
      </c>
      <c r="V31" s="480" t="s">
        <v>2993</v>
      </c>
      <c r="W31" s="481"/>
      <c r="X31" s="481"/>
      <c r="Y31" s="61">
        <f>IF($V31="","",IF($R$3&gt;$V31,"X",""))</f>
      </c>
      <c r="Z31" s="12" t="s">
        <v>2995</v>
      </c>
      <c r="AA31" s="11">
        <f>IF(OR(AND(V31="",Z31&lt;&gt;""),AND(V31&lt;&gt;"",Z31=""),AND(V31="w",Z31&lt;&gt;"w"),AND(V31="nt",Z31="w"),RR4!J13="x"),"x","")</f>
      </c>
      <c r="AB31" s="61"/>
      <c r="AC31" s="61"/>
      <c r="AE31" s="62" t="str">
        <f>IF(AND(COUNT($V31)=1,OR($O31=1,$P31=1,$Q31=1,$R31=1,$S31=1,$T31=1)),INT($V31),"x")</f>
        <v>x</v>
      </c>
      <c r="AF31" s="63">
        <f>IF(AE31="x","",IF(AE31=SMALL($AE$22:$AE$76,1),AE31,""))</f>
      </c>
      <c r="AG31" s="62" t="str">
        <f>IF(AND(COUNT($V31)=1,OR($O31=2,$P31=2,$Q31=2,$R31=2,$S31=2,$T31=2)),INT($V31),"x")</f>
        <v>x</v>
      </c>
      <c r="AH31" s="63">
        <f>IF(AG31="x","",IF(AG31=SMALL($AG$22:$AG$76,1),AG31,""))</f>
      </c>
      <c r="AI31" s="62" t="str">
        <f>IF(AND(COUNT($V31)=1,OR($O31=3,$P31=3,$Q31=3,$R31=3,$S31=3,$T31=3)),INT($V31),"x")</f>
        <v>x</v>
      </c>
      <c r="AJ31" s="63">
        <f>IF(AI31="x","",IF(AI31=SMALL($AI$22:$AI$76,1),AI31,""))</f>
      </c>
      <c r="AK31" s="62" t="str">
        <f>IF(AND(COUNT($V31)=1,OR($O31=4,$P31=4,$Q31=4,$R31=4,$S31=4,$T31=4)),INT($V31),"x")</f>
        <v>x</v>
      </c>
      <c r="AL31" s="63">
        <f>IF(AK31="x","",IF(AK31=SMALL($AK$22:$AK$76,1),AK31,""))</f>
      </c>
      <c r="AM31" s="62" t="str">
        <f>IF(AND(COUNT($V31)=1,OR($O31=5,$P31=5,$Q31=5,$R31=5,$S31=5,$T31=5)),INT($V31),"x")</f>
        <v>x</v>
      </c>
      <c r="AN31" s="63">
        <f>IF(AM31="x","",IF(AM31=SMALL($AM$22:$AM$76,1),AM31,""))</f>
      </c>
      <c r="AO31" s="62" t="str">
        <f>IF(AND(COUNT($V31)=1,OR($O31=6,$P31=6,$Q31=6,$R31=6,$S31=6,$T31=6)),INT($V31),"x")</f>
        <v>x</v>
      </c>
      <c r="AP31" s="63">
        <f>IF(AO31="x","",IF(AO31=SMALL($AO$22:$AO$76,1),AO31,""))</f>
      </c>
      <c r="AQ31" s="64"/>
      <c r="AR31" s="32"/>
    </row>
    <row r="32" spans="1:44" ht="15" customHeight="1">
      <c r="A32" s="366"/>
      <c r="B32" s="32"/>
      <c r="C32" s="367"/>
      <c r="D32" s="32"/>
      <c r="H32" s="490"/>
      <c r="I32" s="490"/>
      <c r="J32" s="490"/>
      <c r="K32" s="490"/>
      <c r="L32" s="490"/>
      <c r="M32" s="491">
        <v>4</v>
      </c>
      <c r="N32" s="492"/>
      <c r="O32" s="12">
        <v>2</v>
      </c>
      <c r="P32" s="12">
        <v>5</v>
      </c>
      <c r="Q32" s="12">
        <v>1</v>
      </c>
      <c r="R32" s="12">
        <v>4</v>
      </c>
      <c r="S32" s="468"/>
      <c r="T32" s="469"/>
      <c r="U32" s="61">
        <f>IF(V32="","",IF(COUNT(O32:T32)&lt;&gt;4,"X",""))</f>
      </c>
      <c r="V32" s="480" t="s">
        <v>2993</v>
      </c>
      <c r="W32" s="481"/>
      <c r="X32" s="481"/>
      <c r="Y32" s="61">
        <f>IF($V32="","",IF($R$3&gt;$V32,"X",""))</f>
      </c>
      <c r="Z32" s="12" t="s">
        <v>2994</v>
      </c>
      <c r="AA32" s="11">
        <f>IF(OR(AND(V32="",Z32&lt;&gt;""),AND(V32&lt;&gt;"",Z32=""),AND(V32="w",Z32&lt;&gt;"w"),AND(V32="nt",Z32="w"),RR4!J14="x"),"x","")</f>
      </c>
      <c r="AB32" s="61"/>
      <c r="AC32" s="61"/>
      <c r="AE32" s="62" t="str">
        <f>IF(AND(COUNT($V32)=1,OR($O32=1,$P32=1,$Q32=1,$R32=1,$S32=1,$T32=1)),INT($V32),"x")</f>
        <v>x</v>
      </c>
      <c r="AF32" s="63">
        <f>IF(AE32="x","",IF(AE32=SMALL($AE$22:$AE$76,1),AE32,""))</f>
      </c>
      <c r="AG32" s="62" t="str">
        <f>IF(AND(COUNT($V32)=1,OR($O32=2,$P32=2,$Q32=2,$R32=2,$S32=2,$T32=2)),INT($V32),"x")</f>
        <v>x</v>
      </c>
      <c r="AH32" s="63">
        <f>IF(AG32="x","",IF(AG32=SMALL($AG$22:$AG$76,1),AG32,""))</f>
      </c>
      <c r="AI32" s="62" t="str">
        <f>IF(AND(COUNT($V32)=1,OR($O32=3,$P32=3,$Q32=3,$R32=3,$S32=3,$T32=3)),INT($V32),"x")</f>
        <v>x</v>
      </c>
      <c r="AJ32" s="63">
        <f>IF(AI32="x","",IF(AI32=SMALL($AI$22:$AI$76,1),AI32,""))</f>
      </c>
      <c r="AK32" s="62" t="str">
        <f>IF(AND(COUNT($V32)=1,OR($O32=4,$P32=4,$Q32=4,$R32=4,$S32=4,$T32=4)),INT($V32),"x")</f>
        <v>x</v>
      </c>
      <c r="AL32" s="63">
        <f>IF(AK32="x","",IF(AK32=SMALL($AK$22:$AK$76,1),AK32,""))</f>
      </c>
      <c r="AM32" s="62" t="str">
        <f>IF(AND(COUNT($V32)=1,OR($O32=5,$P32=5,$Q32=5,$R32=5,$S32=5,$T32=5)),INT($V32),"x")</f>
        <v>x</v>
      </c>
      <c r="AN32" s="63">
        <f>IF(AM32="x","",IF(AM32=SMALL($AM$22:$AM$76,1),AM32,""))</f>
      </c>
      <c r="AO32" s="62" t="str">
        <f>IF(AND(COUNT($V32)=1,OR($O32=6,$P32=6,$Q32=6,$R32=6,$S32=6,$T32=6)),INT($V32),"x")</f>
        <v>x</v>
      </c>
      <c r="AP32" s="63">
        <f>IF(AO32="x","",IF(AO32=SMALL($AO$22:$AO$76,1),AO32,""))</f>
      </c>
      <c r="AQ32" s="64"/>
      <c r="AR32" s="32"/>
    </row>
    <row r="33" spans="1:44" ht="15" customHeight="1">
      <c r="A33" s="366"/>
      <c r="B33" s="32"/>
      <c r="C33" s="367"/>
      <c r="D33" s="32"/>
      <c r="H33" s="490"/>
      <c r="I33" s="490"/>
      <c r="J33" s="490"/>
      <c r="K33" s="490"/>
      <c r="L33" s="490"/>
      <c r="M33" s="491">
        <v>5</v>
      </c>
      <c r="N33" s="492"/>
      <c r="O33" s="12"/>
      <c r="P33" s="12"/>
      <c r="Q33" s="12"/>
      <c r="R33" s="12"/>
      <c r="S33" s="468"/>
      <c r="T33" s="469"/>
      <c r="U33" s="61">
        <f>IF(V33="","",IF(COUNT(O33:T33)&lt;&gt;4,"X",""))</f>
      </c>
      <c r="V33" s="480"/>
      <c r="W33" s="481"/>
      <c r="X33" s="481"/>
      <c r="Y33" s="61">
        <f>IF($V33="","",IF($R$3&gt;$V33,"X",""))</f>
      </c>
      <c r="Z33" s="12"/>
      <c r="AA33" s="11">
        <f>IF(OR(AND(V33="",Z33&lt;&gt;""),AND(V33&lt;&gt;"",Z33=""),AND(V33="w",Z33&lt;&gt;"w"),AND(V33="nt",Z33="w"),RR4!J15="x"),"x","")</f>
      </c>
      <c r="AB33" s="61"/>
      <c r="AC33" s="61"/>
      <c r="AE33" s="65" t="str">
        <f>IF(AND(COUNT($V33)=1,OR($O33=1,$P33=1,$Q33=1,$R33=1,$S33=1,$T33=1)),INT($V33),"x")</f>
        <v>x</v>
      </c>
      <c r="AF33" s="66">
        <f>IF(AE33="x","",IF(AE33=SMALL($AE$22:$AE$76,1),AE33,""))</f>
      </c>
      <c r="AG33" s="65" t="str">
        <f>IF(AND(COUNT($V33)=1,OR($O33=2,$P33=2,$Q33=2,$R33=2,$S33=2,$T33=2)),INT($V33),"x")</f>
        <v>x</v>
      </c>
      <c r="AH33" s="63">
        <f>IF(AG33="x","",IF(AG33=SMALL($AG$22:$AG$76,1),AG33,""))</f>
      </c>
      <c r="AI33" s="65" t="str">
        <f>IF(AND(COUNT($V33)=1,OR($O33=3,$P33=3,$Q33=3,$R33=3,$S33=3,$T33=3)),INT($V33),"x")</f>
        <v>x</v>
      </c>
      <c r="AJ33" s="63">
        <f>IF(AI33="x","",IF(AI33=SMALL($AI$22:$AI$76,1),AI33,""))</f>
      </c>
      <c r="AK33" s="65" t="str">
        <f>IF(AND(COUNT($V33)=1,OR($O33=4,$P33=4,$Q33=4,$R33=4,$S33=4,$T33=4)),INT($V33),"x")</f>
        <v>x</v>
      </c>
      <c r="AL33" s="63">
        <f>IF(AK33="x","",IF(AK33=SMALL($AK$22:$AK$76,1),AK33,""))</f>
      </c>
      <c r="AM33" s="65" t="str">
        <f>IF(AND(COUNT($V33)=1,OR($O33=5,$P33=5,$Q33=5,$R33=5,$S33=5,$T33=5)),INT($V33),"x")</f>
        <v>x</v>
      </c>
      <c r="AN33" s="63">
        <f>IF(AM33="x","",IF(AM33=SMALL($AM$22:$AM$76,1),AM33,""))</f>
      </c>
      <c r="AO33" s="65" t="str">
        <f>IF(AND(COUNT($V33)=1,OR($O33=6,$P33=6,$Q33=6,$R33=6,$S33=6,$T33=6)),INT($V33),"x")</f>
        <v>x</v>
      </c>
      <c r="AP33" s="63">
        <f>IF(AO33="x","",IF(AO33=SMALL($AO$22:$AO$76,1),AO33,""))</f>
      </c>
      <c r="AQ33" s="64"/>
      <c r="AR33" s="32"/>
    </row>
    <row r="34" spans="1:42" ht="3.75" customHeight="1">
      <c r="A34" s="366"/>
      <c r="B34" s="32"/>
      <c r="C34" s="3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487"/>
      <c r="W34" s="487"/>
      <c r="X34" s="487"/>
      <c r="Y34" s="67"/>
      <c r="Z34" s="76"/>
      <c r="AA34" s="68"/>
      <c r="AB34" s="61"/>
      <c r="AC34" s="61"/>
      <c r="AE34" s="69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4" ht="15" customHeight="1">
      <c r="A35" s="366"/>
      <c r="B35" s="32"/>
      <c r="C35" s="367"/>
      <c r="D35" s="32"/>
      <c r="E35" s="55" t="str">
        <f>VLOOKUP("race",'[1]Strings'!$A$3:$K$102,'[1]Strings'!$A$1,FALSE)</f>
        <v>Rennen</v>
      </c>
      <c r="F35" s="55" t="str">
        <f>VLOOKUP("baan / piste",'[1]Strings'!$A$3:$K$102,'[1]Strings'!$A$1,FALSE)</f>
        <v>Bahn</v>
      </c>
      <c r="G35" s="55"/>
      <c r="H35" s="476" t="str">
        <f>VLOOKUP("tegen / contre",'[1]Strings'!$A$3:$K$102,'[1]Strings'!$A$1,FALSE)</f>
        <v>gegen</v>
      </c>
      <c r="I35" s="476"/>
      <c r="J35" s="476"/>
      <c r="K35" s="476"/>
      <c r="L35" s="477"/>
      <c r="M35" s="477" t="str">
        <f>VLOOKUP("heat",'[1]Strings'!$A$3:$K$102,'[1]Strings'!$A$1,FALSE)</f>
        <v>Lauf</v>
      </c>
      <c r="N35" s="477"/>
      <c r="O35" s="476" t="str">
        <f>VLOOKUP("Honden / chiens",'[1]Strings'!$A$3:$K$102,'[1]Strings'!$A$1,FALSE)</f>
        <v>Hunde</v>
      </c>
      <c r="P35" s="476"/>
      <c r="Q35" s="476"/>
      <c r="R35" s="476"/>
      <c r="S35" s="476"/>
      <c r="T35" s="476"/>
      <c r="U35" s="162" t="str">
        <f>VLOOKUP("          Tijd/temps",'[1]Strings'!$A$3:$K$102,'[1]Strings'!$A$1,FALSE)</f>
        <v>           Zeit</v>
      </c>
      <c r="V35" s="163"/>
      <c r="W35" s="163"/>
      <c r="X35" s="163"/>
      <c r="Y35" s="161" t="str">
        <f>VLOOKUP("    W / L / T",'[1]Strings'!$A$3:$K$102,'[1]Strings'!$A$1,FALSE)</f>
        <v>    W/L/T</v>
      </c>
      <c r="Z35" s="55"/>
      <c r="AA35" s="68"/>
      <c r="AB35" s="61"/>
      <c r="AC35" s="61"/>
      <c r="AD35" s="55"/>
      <c r="AE35" s="70"/>
      <c r="AF35" s="67"/>
      <c r="AG35" s="70"/>
      <c r="AH35" s="67"/>
      <c r="AI35" s="70"/>
      <c r="AJ35" s="67"/>
      <c r="AK35" s="70"/>
      <c r="AL35" s="67"/>
      <c r="AM35" s="70"/>
      <c r="AN35" s="67"/>
      <c r="AO35" s="70"/>
      <c r="AP35" s="67"/>
      <c r="AQ35" s="565"/>
      <c r="AR35" s="478"/>
    </row>
    <row r="36" spans="1:44" ht="15" customHeight="1">
      <c r="A36" s="366"/>
      <c r="B36" s="32"/>
      <c r="C36" s="367"/>
      <c r="D36" s="32"/>
      <c r="E36" s="488">
        <f>RR4!G17</f>
        <v>6</v>
      </c>
      <c r="F36" s="59">
        <f>IF(RR4!I17="rood",VLOOKUP("Rood / Rouge",'[1]Strings'!$A$3:$K$102,'[1]Strings'!$A$1,FALSE),"")</f>
      </c>
      <c r="H36" s="478" t="str">
        <f>VLOOKUP(E36&amp;$C$3,RR4!$U$5:$AV$33,28,FALSE)</f>
        <v>BayernXpress I</v>
      </c>
      <c r="I36" s="478"/>
      <c r="J36" s="478"/>
      <c r="K36" s="478"/>
      <c r="L36" s="479"/>
      <c r="M36" s="491">
        <v>1</v>
      </c>
      <c r="N36" s="492"/>
      <c r="O36" s="12">
        <v>2</v>
      </c>
      <c r="P36" s="12">
        <v>5</v>
      </c>
      <c r="Q36" s="12">
        <v>3</v>
      </c>
      <c r="R36" s="12">
        <v>4</v>
      </c>
      <c r="S36" s="468"/>
      <c r="T36" s="469"/>
      <c r="U36" s="61">
        <f>IF(V36="","",IF(COUNT(O36:T36)&lt;&gt;4,"X",""))</f>
      </c>
      <c r="V36" s="480" t="s">
        <v>2993</v>
      </c>
      <c r="W36" s="481"/>
      <c r="X36" s="481"/>
      <c r="Y36" s="61">
        <f>IF($V36="","",IF($R$3&gt;$V36,"X",""))</f>
      </c>
      <c r="Z36" s="12" t="s">
        <v>2994</v>
      </c>
      <c r="AA36" s="11">
        <f>IF(OR(AND(V36="",Z36&lt;&gt;""),AND(V36&lt;&gt;"",Z36=""),AND(V36="w",Z36&lt;&gt;"w"),AND(V36="nt",Z36="w"),RR4!J18="x"),"x","")</f>
      </c>
      <c r="AB36" s="61"/>
      <c r="AC36" s="61"/>
      <c r="AE36" s="62" t="str">
        <f>IF(AND(COUNT($V36)=1,OR($O36=1,$P36=1,$Q36=1,$R36=1,$S36=1,$T36=1)),INT($V36),"x")</f>
        <v>x</v>
      </c>
      <c r="AF36" s="63">
        <f>IF(AE36="x","",IF(AE36=SMALL($AE$22:$AE$76,1),AE36,""))</f>
      </c>
      <c r="AG36" s="62" t="str">
        <f>IF(AND(COUNT($V36)=1,OR($O36=2,$P36=2,$Q36=2,$R36=2,$S36=2,$T36=2)),INT($V36),"x")</f>
        <v>x</v>
      </c>
      <c r="AH36" s="63">
        <f>IF(AG36="x","",IF(AG36=SMALL($AG$22:$AG$76,1),AG36,""))</f>
      </c>
      <c r="AI36" s="62" t="str">
        <f>IF(AND(COUNT($V36)=1,OR($O36=3,$P36=3,$Q36=3,$R36=3,$S36=3,$T36=3)),INT($V36),"x")</f>
        <v>x</v>
      </c>
      <c r="AJ36" s="63">
        <f>IF(AI36="x","",IF(AI36=SMALL($AI$22:$AI$76,1),AI36,""))</f>
      </c>
      <c r="AK36" s="62" t="str">
        <f>IF(AND(COUNT($V36)=1,OR($O36=4,$P36=4,$Q36=4,$R36=4,$S36=4,$T36=4)),INT($V36),"x")</f>
        <v>x</v>
      </c>
      <c r="AL36" s="63">
        <f>IF(AK36="x","",IF(AK36=SMALL($AK$22:$AK$76,1),AK36,""))</f>
      </c>
      <c r="AM36" s="62" t="str">
        <f>IF(AND(COUNT($V36)=1,OR($O36=5,$P36=5,$Q36=5,$R36=5,$S36=5,$T36=5)),INT($V36),"x")</f>
        <v>x</v>
      </c>
      <c r="AN36" s="63">
        <f>IF(AM36="x","",IF(AM36=SMALL($AM$22:$AM$76,1),AM36,""))</f>
      </c>
      <c r="AO36" s="62" t="str">
        <f>IF(AND(COUNT($V36)=1,OR($O36=6,$P36=6,$Q36=6,$R36=6,$S36=6,$T36=6)),INT($V36),"x")</f>
        <v>x</v>
      </c>
      <c r="AP36" s="63">
        <f>IF(AO36="x","",IF(AO36=SMALL($AO$22:$AO$76,1),AO36,""))</f>
      </c>
      <c r="AQ36" s="64"/>
      <c r="AR36" s="32"/>
    </row>
    <row r="37" spans="1:44" ht="15" customHeight="1">
      <c r="A37" s="366"/>
      <c r="B37" s="32"/>
      <c r="C37" s="367"/>
      <c r="D37" s="32"/>
      <c r="E37" s="489"/>
      <c r="F37" s="59" t="str">
        <f>IF(RR4!I17="blauw",VLOOKUP("Blauw / Bleu",'[1]Strings'!$A$3:$K$102,'[1]Strings'!$A$1,FALSE),"")</f>
        <v>Blau</v>
      </c>
      <c r="H37" s="490">
        <f>IF(OR(U36="x",Y36="x",AA36="x"),"CONTROLEER INVOER       HEAT 1",IF(OR(U37="x",Y37="x",AA37="x"),"CONTROLEER INVOER       HEAT 2",IF(OR(U38="x",Y38="x",AA38="x"),"CONTROLEER INVOER       HEAT 3",IF(OR(U39="x",Y39="x",AA39="x"),"CONTROLEER INVOER       HEAT 4",IF(OR(U40="x",Y40="x",AA40="x"),"CONTROLEER INVOER       HEAT 5","")))))</f>
      </c>
      <c r="I37" s="490"/>
      <c r="J37" s="490"/>
      <c r="K37" s="490"/>
      <c r="L37" s="490"/>
      <c r="M37" s="491">
        <v>2</v>
      </c>
      <c r="N37" s="492"/>
      <c r="O37" s="12">
        <v>2</v>
      </c>
      <c r="P37" s="12">
        <v>5</v>
      </c>
      <c r="Q37" s="12">
        <v>3</v>
      </c>
      <c r="R37" s="12">
        <v>4</v>
      </c>
      <c r="S37" s="468"/>
      <c r="T37" s="469"/>
      <c r="U37" s="61">
        <f>IF(V37="","",IF(COUNT(O37:T37)&lt;&gt;4,"X",""))</f>
      </c>
      <c r="V37" s="480" t="s">
        <v>2993</v>
      </c>
      <c r="W37" s="481"/>
      <c r="X37" s="481"/>
      <c r="Y37" s="61">
        <f>IF($V37="","",IF($R$3&gt;$V37,"X",""))</f>
      </c>
      <c r="Z37" s="12" t="s">
        <v>2994</v>
      </c>
      <c r="AA37" s="11">
        <f>IF(OR(AND(V37="",Z37&lt;&gt;""),AND(V37&lt;&gt;"",Z37=""),AND(V37="w",Z37&lt;&gt;"w"),AND(V37="nt",Z37="w"),RR4!J19="x"),"x","")</f>
      </c>
      <c r="AB37" s="61"/>
      <c r="AC37" s="61"/>
      <c r="AE37" s="62" t="str">
        <f>IF(AND(COUNT($V37)=1,OR($O37=1,$P37=1,$Q37=1,$R37=1,$S37=1,$T37=1)),INT($V37),"x")</f>
        <v>x</v>
      </c>
      <c r="AF37" s="63">
        <f>IF(AE37="x","",IF(AE37=SMALL($AE$22:$AE$76,1),AE37,""))</f>
      </c>
      <c r="AG37" s="62" t="str">
        <f>IF(AND(COUNT($V37)=1,OR($O37=2,$P37=2,$Q37=2,$R37=2,$S37=2,$T37=2)),INT($V37),"x")</f>
        <v>x</v>
      </c>
      <c r="AH37" s="63">
        <f>IF(AG37="x","",IF(AG37=SMALL($AG$22:$AG$76,1),AG37,""))</f>
      </c>
      <c r="AI37" s="62" t="str">
        <f>IF(AND(COUNT($V37)=1,OR($O37=3,$P37=3,$Q37=3,$R37=3,$S37=3,$T37=3)),INT($V37),"x")</f>
        <v>x</v>
      </c>
      <c r="AJ37" s="63">
        <f>IF(AI37="x","",IF(AI37=SMALL($AI$22:$AI$76,1),AI37,""))</f>
      </c>
      <c r="AK37" s="62" t="str">
        <f>IF(AND(COUNT($V37)=1,OR($O37=4,$P37=4,$Q37=4,$R37=4,$S37=4,$T37=4)),INT($V37),"x")</f>
        <v>x</v>
      </c>
      <c r="AL37" s="63">
        <f>IF(AK37="x","",IF(AK37=SMALL($AK$22:$AK$76,1),AK37,""))</f>
      </c>
      <c r="AM37" s="62" t="str">
        <f>IF(AND(COUNT($V37)=1,OR($O37=5,$P37=5,$Q37=5,$R37=5,$S37=5,$T37=5)),INT($V37),"x")</f>
        <v>x</v>
      </c>
      <c r="AN37" s="63">
        <f>IF(AM37="x","",IF(AM37=SMALL($AM$22:$AM$76,1),AM37,""))</f>
      </c>
      <c r="AO37" s="62" t="str">
        <f>IF(AND(COUNT($V37)=1,OR($O37=6,$P37=6,$Q37=6,$R37=6,$S37=6,$T37=6)),INT($V37),"x")</f>
        <v>x</v>
      </c>
      <c r="AP37" s="63">
        <f>IF(AO37="x","",IF(AO37=SMALL($AO$22:$AO$76,1),AO37,""))</f>
      </c>
      <c r="AQ37" s="64"/>
      <c r="AR37" s="32"/>
    </row>
    <row r="38" spans="1:44" ht="15" customHeight="1">
      <c r="A38" s="366"/>
      <c r="B38" s="32"/>
      <c r="C38" s="367"/>
      <c r="D38" s="32"/>
      <c r="E38" s="2" t="str">
        <f>uitslagen!$B$2</f>
        <v>RR</v>
      </c>
      <c r="H38" s="490"/>
      <c r="I38" s="490"/>
      <c r="J38" s="490"/>
      <c r="K38" s="490"/>
      <c r="L38" s="490"/>
      <c r="M38" s="491">
        <v>3</v>
      </c>
      <c r="N38" s="492"/>
      <c r="O38" s="12">
        <v>2</v>
      </c>
      <c r="P38" s="12">
        <v>5</v>
      </c>
      <c r="Q38" s="12">
        <v>3</v>
      </c>
      <c r="R38" s="12">
        <v>4</v>
      </c>
      <c r="S38" s="468"/>
      <c r="T38" s="469"/>
      <c r="U38" s="61">
        <f>IF(V38="","",IF(COUNT(O38:T38)&lt;&gt;4,"X",""))</f>
      </c>
      <c r="V38" s="480">
        <v>20.53</v>
      </c>
      <c r="W38" s="481"/>
      <c r="X38" s="481"/>
      <c r="Y38" s="61">
        <f>IF($V38="","",IF($R$3&gt;$V38,"X",""))</f>
      </c>
      <c r="Z38" s="12" t="s">
        <v>2992</v>
      </c>
      <c r="AA38" s="11">
        <f>IF(OR(AND(V38="",Z38&lt;&gt;""),AND(V38&lt;&gt;"",Z38=""),AND(V38="w",Z38&lt;&gt;"w"),AND(V38="nt",Z38="w"),RR4!J20="x"),"x","")</f>
      </c>
      <c r="AB38" s="61"/>
      <c r="AC38" s="61"/>
      <c r="AE38" s="62" t="str">
        <f>IF(AND(COUNT($V38)=1,OR($O38=1,$P38=1,$Q38=1,$R38=1,$S38=1,$T38=1)),INT($V38),"x")</f>
        <v>x</v>
      </c>
      <c r="AF38" s="63">
        <f>IF(AE38="x","",IF(AE38=SMALL($AE$22:$AE$76,1),AE38,""))</f>
      </c>
      <c r="AG38" s="62">
        <f>IF(AND(COUNT($V38)=1,OR($O38=2,$P38=2,$Q38=2,$R38=2,$S38=2,$T38=2)),INT($V38),"x")</f>
        <v>20</v>
      </c>
      <c r="AH38" s="63">
        <f>IF(AG38="x","",IF(AG38=SMALL($AG$22:$AG$76,1),AG38,""))</f>
        <v>20</v>
      </c>
      <c r="AI38" s="62">
        <f>IF(AND(COUNT($V38)=1,OR($O38=3,$P38=3,$Q38=3,$R38=3,$S38=3,$T38=3)),INT($V38),"x")</f>
        <v>20</v>
      </c>
      <c r="AJ38" s="63">
        <f>IF(AI38="x","",IF(AI38=SMALL($AI$22:$AI$76,1),AI38,""))</f>
      </c>
      <c r="AK38" s="62">
        <f>IF(AND(COUNT($V38)=1,OR($O38=4,$P38=4,$Q38=4,$R38=4,$S38=4,$T38=4)),INT($V38),"x")</f>
        <v>20</v>
      </c>
      <c r="AL38" s="63">
        <f>IF(AK38="x","",IF(AK38=SMALL($AK$22:$AK$76,1),AK38,""))</f>
      </c>
      <c r="AM38" s="62">
        <f>IF(AND(COUNT($V38)=1,OR($O38=5,$P38=5,$Q38=5,$R38=5,$S38=5,$T38=5)),INT($V38),"x")</f>
        <v>20</v>
      </c>
      <c r="AN38" s="63">
        <f>IF(AM38="x","",IF(AM38=SMALL($AM$22:$AM$76,1),AM38,""))</f>
      </c>
      <c r="AO38" s="62" t="str">
        <f>IF(AND(COUNT($V38)=1,OR($O38=6,$P38=6,$Q38=6,$R38=6,$S38=6,$T38=6)),INT($V38),"x")</f>
        <v>x</v>
      </c>
      <c r="AP38" s="63">
        <f>IF(AO38="x","",IF(AO38=SMALL($AO$22:$AO$76,1),AO38,""))</f>
      </c>
      <c r="AQ38" s="64"/>
      <c r="AR38" s="32"/>
    </row>
    <row r="39" spans="1:44" ht="15" customHeight="1">
      <c r="A39" s="366"/>
      <c r="B39" s="32"/>
      <c r="C39" s="367"/>
      <c r="D39" s="32"/>
      <c r="H39" s="490"/>
      <c r="I39" s="490"/>
      <c r="J39" s="490"/>
      <c r="K39" s="490"/>
      <c r="L39" s="490"/>
      <c r="M39" s="491">
        <v>4</v>
      </c>
      <c r="N39" s="492"/>
      <c r="O39" s="12">
        <v>2</v>
      </c>
      <c r="P39" s="12">
        <v>5</v>
      </c>
      <c r="Q39" s="12">
        <v>3</v>
      </c>
      <c r="R39" s="12">
        <v>4</v>
      </c>
      <c r="S39" s="468"/>
      <c r="T39" s="469"/>
      <c r="U39" s="61">
        <f>IF(V39="","",IF(COUNT(O39:T39)&lt;&gt;4,"X",""))</f>
      </c>
      <c r="V39" s="480" t="s">
        <v>2993</v>
      </c>
      <c r="W39" s="481"/>
      <c r="X39" s="481"/>
      <c r="Y39" s="61">
        <f>IF($V39="","",IF($R$3&gt;$V39,"X",""))</f>
      </c>
      <c r="Z39" s="12" t="s">
        <v>2994</v>
      </c>
      <c r="AA39" s="11">
        <f>IF(OR(AND(V39="",Z39&lt;&gt;""),AND(V39&lt;&gt;"",Z39=""),AND(V39="w",Z39&lt;&gt;"w"),AND(V39="nt",Z39="w"),RR4!J21="x"),"x","")</f>
      </c>
      <c r="AB39" s="61"/>
      <c r="AC39" s="61"/>
      <c r="AE39" s="62" t="str">
        <f>IF(AND(COUNT($V39)=1,OR($O39=1,$P39=1,$Q39=1,$R39=1,$S39=1,$T39=1)),INT($V39),"x")</f>
        <v>x</v>
      </c>
      <c r="AF39" s="63">
        <f>IF(AE39="x","",IF(AE39=SMALL($AE$22:$AE$76,1),AE39,""))</f>
      </c>
      <c r="AG39" s="62" t="str">
        <f>IF(AND(COUNT($V39)=1,OR($O39=2,$P39=2,$Q39=2,$R39=2,$S39=2,$T39=2)),INT($V39),"x")</f>
        <v>x</v>
      </c>
      <c r="AH39" s="63">
        <f>IF(AG39="x","",IF(AG39=SMALL($AG$22:$AG$76,1),AG39,""))</f>
      </c>
      <c r="AI39" s="62" t="str">
        <f>IF(AND(COUNT($V39)=1,OR($O39=3,$P39=3,$Q39=3,$R39=3,$S39=3,$T39=3)),INT($V39),"x")</f>
        <v>x</v>
      </c>
      <c r="AJ39" s="63">
        <f>IF(AI39="x","",IF(AI39=SMALL($AI$22:$AI$76,1),AI39,""))</f>
      </c>
      <c r="AK39" s="62" t="str">
        <f>IF(AND(COUNT($V39)=1,OR($O39=4,$P39=4,$Q39=4,$R39=4,$S39=4,$T39=4)),INT($V39),"x")</f>
        <v>x</v>
      </c>
      <c r="AL39" s="63">
        <f>IF(AK39="x","",IF(AK39=SMALL($AK$22:$AK$76,1),AK39,""))</f>
      </c>
      <c r="AM39" s="62" t="str">
        <f>IF(AND(COUNT($V39)=1,OR($O39=5,$P39=5,$Q39=5,$R39=5,$S39=5,$T39=5)),INT($V39),"x")</f>
        <v>x</v>
      </c>
      <c r="AN39" s="63">
        <f>IF(AM39="x","",IF(AM39=SMALL($AM$22:$AM$76,1),AM39,""))</f>
      </c>
      <c r="AO39" s="62" t="str">
        <f>IF(AND(COUNT($V39)=1,OR($O39=6,$P39=6,$Q39=6,$R39=6,$S39=6,$T39=6)),INT($V39),"x")</f>
        <v>x</v>
      </c>
      <c r="AP39" s="63">
        <f>IF(AO39="x","",IF(AO39=SMALL($AO$22:$AO$76,1),AO39,""))</f>
      </c>
      <c r="AQ39" s="64"/>
      <c r="AR39" s="32"/>
    </row>
    <row r="40" spans="1:44" ht="15" customHeight="1">
      <c r="A40" s="366"/>
      <c r="B40" s="32"/>
      <c r="C40" s="367"/>
      <c r="D40" s="32"/>
      <c r="H40" s="490"/>
      <c r="I40" s="490"/>
      <c r="J40" s="490"/>
      <c r="K40" s="490"/>
      <c r="L40" s="490"/>
      <c r="M40" s="491">
        <v>5</v>
      </c>
      <c r="N40" s="492"/>
      <c r="O40" s="12"/>
      <c r="P40" s="12"/>
      <c r="Q40" s="12"/>
      <c r="R40" s="12"/>
      <c r="S40" s="468"/>
      <c r="T40" s="469"/>
      <c r="U40" s="61">
        <f>IF(V40="","",IF(COUNT(O40:T40)&lt;&gt;4,"X",""))</f>
      </c>
      <c r="V40" s="480"/>
      <c r="W40" s="481"/>
      <c r="X40" s="481"/>
      <c r="Y40" s="61">
        <f>IF($V40="","",IF($R$3&gt;$V40,"X",""))</f>
      </c>
      <c r="Z40" s="12"/>
      <c r="AA40" s="11">
        <f>IF(OR(AND(V40="",Z40&lt;&gt;""),AND(V40&lt;&gt;"",Z40=""),AND(V40="w",Z40&lt;&gt;"w"),AND(V40="nt",Z40="w"),RR4!J22="x"),"x","")</f>
      </c>
      <c r="AB40" s="61"/>
      <c r="AC40" s="61"/>
      <c r="AE40" s="65" t="str">
        <f>IF(AND(COUNT($V40)=1,OR($O40=1,$P40=1,$Q40=1,$R40=1,$S40=1,$T40=1)),INT($V40),"x")</f>
        <v>x</v>
      </c>
      <c r="AF40" s="66">
        <f>IF(AE40="x","",IF(AE40=SMALL($AE$22:$AE$76,1),AE40,""))</f>
      </c>
      <c r="AG40" s="65" t="str">
        <f>IF(AND(COUNT($V40)=1,OR($O40=2,$P40=2,$Q40=2,$R40=2,$S40=2,$T40=2)),INT($V40),"x")</f>
        <v>x</v>
      </c>
      <c r="AH40" s="63">
        <f>IF(AG40="x","",IF(AG40=SMALL($AG$22:$AG$76,1),AG40,""))</f>
      </c>
      <c r="AI40" s="65" t="str">
        <f>IF(AND(COUNT($V40)=1,OR($O40=3,$P40=3,$Q40=3,$R40=3,$S40=3,$T40=3)),INT($V40),"x")</f>
        <v>x</v>
      </c>
      <c r="AJ40" s="63">
        <f>IF(AI40="x","",IF(AI40=SMALL($AI$22:$AI$76,1),AI40,""))</f>
      </c>
      <c r="AK40" s="65" t="str">
        <f>IF(AND(COUNT($V40)=1,OR($O40=4,$P40=4,$Q40=4,$R40=4,$S40=4,$T40=4)),INT($V40),"x")</f>
        <v>x</v>
      </c>
      <c r="AL40" s="63">
        <f>IF(AK40="x","",IF(AK40=SMALL($AK$22:$AK$76,1),AK40,""))</f>
      </c>
      <c r="AM40" s="65" t="str">
        <f>IF(AND(COUNT($V40)=1,OR($O40=5,$P40=5,$Q40=5,$R40=5,$S40=5,$T40=5)),INT($V40),"x")</f>
        <v>x</v>
      </c>
      <c r="AN40" s="63">
        <f>IF(AM40="x","",IF(AM40=SMALL($AM$22:$AM$76,1),AM40,""))</f>
      </c>
      <c r="AO40" s="65" t="str">
        <f>IF(AND(COUNT($V40)=1,OR($O40=6,$P40=6,$Q40=6,$R40=6,$S40=6,$T40=6)),INT($V40),"x")</f>
        <v>x</v>
      </c>
      <c r="AP40" s="63">
        <f>IF(AO40="x","",IF(AO40=SMALL($AO$22:$AO$76,1),AO40,""))</f>
      </c>
      <c r="AQ40" s="64"/>
      <c r="AR40" s="32"/>
    </row>
    <row r="41" spans="1:42" ht="4.5" customHeight="1">
      <c r="A41" s="366"/>
      <c r="B41" s="32"/>
      <c r="C41" s="367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564"/>
      <c r="W41" s="564"/>
      <c r="X41" s="564"/>
      <c r="Y41" s="174"/>
      <c r="Z41" s="175"/>
      <c r="AA41" s="68"/>
      <c r="AB41" s="61"/>
      <c r="AC41" s="61"/>
      <c r="AE41" s="69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4" ht="15" customHeight="1">
      <c r="A42" s="366"/>
      <c r="B42" s="32"/>
      <c r="C42" s="367"/>
      <c r="D42" s="32"/>
      <c r="E42" s="55" t="str">
        <f>VLOOKUP("race",'[1]Strings'!$A$3:$K$102,'[1]Strings'!$A$1,FALSE)</f>
        <v>Rennen</v>
      </c>
      <c r="F42" s="55" t="str">
        <f>VLOOKUP("baan / piste",'[1]Strings'!$A$3:$K$102,'[1]Strings'!$A$1,FALSE)</f>
        <v>Bahn</v>
      </c>
      <c r="G42" s="55"/>
      <c r="H42" s="476" t="str">
        <f>VLOOKUP("tegen / contre",'[1]Strings'!$A$3:$K$102,'[1]Strings'!$A$1,FALSE)</f>
        <v>gegen</v>
      </c>
      <c r="I42" s="476"/>
      <c r="J42" s="476"/>
      <c r="K42" s="476"/>
      <c r="L42" s="477"/>
      <c r="M42" s="477" t="str">
        <f>VLOOKUP("heat",'[1]Strings'!$A$3:$K$102,'[1]Strings'!$A$1,FALSE)</f>
        <v>Lauf</v>
      </c>
      <c r="N42" s="477"/>
      <c r="O42" s="476" t="str">
        <f>VLOOKUP("Honden / chiens",'[1]Strings'!$A$3:$K$102,'[1]Strings'!$A$1,FALSE)</f>
        <v>Hunde</v>
      </c>
      <c r="P42" s="476"/>
      <c r="Q42" s="476"/>
      <c r="R42" s="476"/>
      <c r="S42" s="476"/>
      <c r="T42" s="476"/>
      <c r="U42" s="162" t="str">
        <f>VLOOKUP("          Tijd/temps",'[1]Strings'!$A$3:$K$102,'[1]Strings'!$A$1,FALSE)</f>
        <v>           Zeit</v>
      </c>
      <c r="V42" s="163"/>
      <c r="W42" s="163"/>
      <c r="X42" s="163"/>
      <c r="Y42" s="161" t="str">
        <f>VLOOKUP("    W / L / T",'[1]Strings'!$A$3:$K$102,'[1]Strings'!$A$1,FALSE)</f>
        <v>    W/L/T</v>
      </c>
      <c r="Z42" s="55"/>
      <c r="AA42" s="68"/>
      <c r="AB42" s="61"/>
      <c r="AC42" s="61"/>
      <c r="AD42" s="55"/>
      <c r="AE42" s="70"/>
      <c r="AF42" s="67"/>
      <c r="AG42" s="70"/>
      <c r="AH42" s="67"/>
      <c r="AI42" s="70"/>
      <c r="AJ42" s="67"/>
      <c r="AK42" s="70"/>
      <c r="AL42" s="67"/>
      <c r="AM42" s="70"/>
      <c r="AN42" s="67"/>
      <c r="AO42" s="70"/>
      <c r="AP42" s="67"/>
      <c r="AQ42" s="565"/>
      <c r="AR42" s="478"/>
    </row>
    <row r="43" spans="1:44" ht="15" customHeight="1">
      <c r="A43" s="366"/>
      <c r="B43" s="32"/>
      <c r="C43" s="367"/>
      <c r="D43" s="32"/>
      <c r="E43" s="488">
        <f>IF(uitslagen!$E$82="","",VLOOKUP(C3,uitslagen!$E$82:$L$90,8,FALSE))</f>
        <v>1</v>
      </c>
      <c r="F43" s="59">
        <f>IF(E43="","",IF(VLOOKUP($C$3&amp;"-"&amp;E43,'DE4'!$S$10:$AS$24,27,FALSE)="Rood",VLOOKUP("Rood / Rouge",'[1]Strings'!$A$3:$K$102,'[1]Strings'!$A$1,FALSE),""))</f>
      </c>
      <c r="G43" s="71">
        <f>IF(E43="","",E43)</f>
        <v>1</v>
      </c>
      <c r="H43" s="478" t="str">
        <f>IF(E43="","",VLOOKUP($C$3&amp;"-"&amp;E43,'DE4'!$S$10:$AR$24,26,FALSE))</f>
        <v>Flying Stars</v>
      </c>
      <c r="I43" s="478"/>
      <c r="J43" s="478"/>
      <c r="K43" s="478"/>
      <c r="L43" s="479"/>
      <c r="M43" s="491">
        <v>1</v>
      </c>
      <c r="N43" s="492"/>
      <c r="O43" s="12">
        <v>1</v>
      </c>
      <c r="P43" s="12">
        <v>3</v>
      </c>
      <c r="Q43" s="12">
        <v>5</v>
      </c>
      <c r="R43" s="12">
        <v>4</v>
      </c>
      <c r="S43" s="468"/>
      <c r="T43" s="469"/>
      <c r="U43" s="61">
        <f>IF(V43="","",IF(COUNT(O43:T43)&lt;&gt;4,"X",""))</f>
      </c>
      <c r="V43" s="480" t="s">
        <v>2993</v>
      </c>
      <c r="W43" s="481"/>
      <c r="X43" s="481"/>
      <c r="Y43" s="61">
        <f>IF($V43="","",IF($R$3&gt;$V43,"X",""))</f>
      </c>
      <c r="Z43" s="12" t="s">
        <v>2994</v>
      </c>
      <c r="AA43" s="11">
        <f>IF(G43="","",IF(OR(AND(V43="",Z43&lt;&gt;""),AND(V43&lt;&gt;"",Z43=""),AND(V43="w",Z43&lt;&gt;"w"),AND(V43="nt",Z43="w"),VLOOKUP($C$3&amp;"-"&amp;G43,'DE4'!$S$10:$AM$24,M43+16,FALSE)="x"),"x",""))</f>
      </c>
      <c r="AB43" s="61"/>
      <c r="AC43" s="61"/>
      <c r="AE43" s="62" t="str">
        <f>IF(AND(COUNT($V43)=1,OR($O43=1,$P43=1,$Q43=1,$R43=1,$S43=1,$T43=1)),INT($V43),"x")</f>
        <v>x</v>
      </c>
      <c r="AF43" s="63">
        <f>IF(AE43="x","",IF(AE43=SMALL($AE$22:$AE$76,1),AE43,""))</f>
      </c>
      <c r="AG43" s="62" t="str">
        <f>IF(AND(COUNT($V43)=1,OR($O43=2,$P43=2,$Q43=2,$R43=2,$S43=2,$T43=2)),INT($V43),"x")</f>
        <v>x</v>
      </c>
      <c r="AH43" s="63">
        <f>IF(AG43="x","",IF(AG43=SMALL($AG$22:$AG$76,1),AG43,""))</f>
      </c>
      <c r="AI43" s="62" t="str">
        <f>IF(AND(COUNT($V43)=1,OR($O43=3,$P43=3,$Q43=3,$R43=3,$S43=3,$T43=3)),INT($V43),"x")</f>
        <v>x</v>
      </c>
      <c r="AJ43" s="63">
        <f>IF(AI43="x","",IF(AI43=SMALL($AI$22:$AI$76,1),AI43,""))</f>
      </c>
      <c r="AK43" s="62" t="str">
        <f>IF(AND(COUNT($V43)=1,OR($O43=4,$P43=4,$Q43=4,$R43=4,$S43=4,$T43=4)),INT($V43),"x")</f>
        <v>x</v>
      </c>
      <c r="AL43" s="63">
        <f>IF(AK43="x","",IF(AK43=SMALL($AK$22:$AK$76,1),AK43,""))</f>
      </c>
      <c r="AM43" s="62" t="str">
        <f>IF(AND(COUNT($V43)=1,OR($O43=5,$P43=5,$Q43=5,$R43=5,$S43=5,$T43=5)),INT($V43),"x")</f>
        <v>x</v>
      </c>
      <c r="AN43" s="63">
        <f>IF(AM43="x","",IF(AM43=SMALL($AM$22:$AM$76,1),AM43,""))</f>
      </c>
      <c r="AO43" s="62" t="str">
        <f>IF(AND(COUNT($V43)=1,OR($O43=6,$P43=6,$Q43=6,$R43=6,$S43=6,$T43=6)),INT($V43),"x")</f>
        <v>x</v>
      </c>
      <c r="AP43" s="63">
        <f>IF(AO43="x","",IF(AO43=SMALL($AO$22:$AO$76,1),AO43,""))</f>
      </c>
      <c r="AQ43" s="64"/>
      <c r="AR43" s="32"/>
    </row>
    <row r="44" spans="1:44" ht="15" customHeight="1">
      <c r="A44" s="366"/>
      <c r="B44" s="32"/>
      <c r="C44" s="367"/>
      <c r="D44" s="32"/>
      <c r="E44" s="489"/>
      <c r="F44" s="59" t="str">
        <f>IF(E43="","",IF(VLOOKUP($C$3&amp;"-"&amp;E43,'DE4'!$S$10:$AS$24,27,FALSE)="Blauw",VLOOKUP("Blauw / Bleu",'[1]Strings'!$A$3:$K$102,'[1]Strings'!$A$1,FALSE),""))</f>
        <v>Blau</v>
      </c>
      <c r="G44" s="71">
        <f>IF(E43="","",E43)</f>
        <v>1</v>
      </c>
      <c r="H44" s="490">
        <f>IF(OR(U43="x",Y43="x",AA43="x"),"CONTROLEER INVOER       HEAT 1",IF(OR(U44="x",Y44="x",AA44="x"),"CONTROLEER INVOER       HEAT 2",IF(OR(U45="x",Y45="x",AA45="x"),"CONTROLEER INVOER       HEAT 3",IF(OR(U46="x",Y46="x",AA46="x"),"CONTROLEER INVOER       HEAT 4",IF(OR(U47="x",Y47="x",AA47="x"),"CONTROLEER INVOER       HEAT 5","")))))</f>
      </c>
      <c r="I44" s="490"/>
      <c r="J44" s="490"/>
      <c r="K44" s="490"/>
      <c r="L44" s="490"/>
      <c r="M44" s="491">
        <v>2</v>
      </c>
      <c r="N44" s="492"/>
      <c r="O44" s="12">
        <v>1</v>
      </c>
      <c r="P44" s="12">
        <v>3</v>
      </c>
      <c r="Q44" s="12">
        <v>5</v>
      </c>
      <c r="R44" s="12">
        <v>4</v>
      </c>
      <c r="S44" s="468"/>
      <c r="T44" s="469"/>
      <c r="U44" s="61">
        <f>IF(V44="","",IF(COUNT(O44:T44)&lt;&gt;4,"X",""))</f>
      </c>
      <c r="V44" s="480">
        <v>18.33</v>
      </c>
      <c r="W44" s="481"/>
      <c r="X44" s="481"/>
      <c r="Y44" s="61">
        <f>IF($V44="","",IF($R$3&gt;$V44,"X",""))</f>
      </c>
      <c r="Z44" s="12" t="s">
        <v>2992</v>
      </c>
      <c r="AA44" s="11">
        <f>IF(G44="","",IF(OR(AND(V44="",Z44&lt;&gt;""),AND(V44&lt;&gt;"",Z44=""),AND(V44="w",Z44&lt;&gt;"w"),AND(V44="nt",Z44="w"),VLOOKUP($C$3&amp;"-"&amp;G44,'DE4'!$S$10:$AM$24,M44+16,FALSE)="x"),"x",""))</f>
      </c>
      <c r="AB44" s="61"/>
      <c r="AC44" s="61"/>
      <c r="AE44" s="62">
        <f>IF(AND(COUNT($V44)=1,OR($O44=1,$P44=1,$Q44=1,$R44=1,$S44=1,$T44=1)),INT($V44),"x")</f>
        <v>18</v>
      </c>
      <c r="AF44" s="63">
        <f>IF(AE44="x","",IF(AE44=SMALL($AE$22:$AE$76,1),AE44,""))</f>
        <v>18</v>
      </c>
      <c r="AG44" s="62" t="str">
        <f>IF(AND(COUNT($V44)=1,OR($O44=2,$P44=2,$Q44=2,$R44=2,$S44=2,$T44=2)),INT($V44),"x")</f>
        <v>x</v>
      </c>
      <c r="AH44" s="63">
        <f>IF(AG44="x","",IF(AG44=SMALL($AG$22:$AG$76,1),AG44,""))</f>
      </c>
      <c r="AI44" s="62">
        <f>IF(AND(COUNT($V44)=1,OR($O44=3,$P44=3,$Q44=3,$R44=3,$S44=3,$T44=3)),INT($V44),"x")</f>
        <v>18</v>
      </c>
      <c r="AJ44" s="63">
        <f>IF(AI44="x","",IF(AI44=SMALL($AI$22:$AI$76,1),AI44,""))</f>
        <v>18</v>
      </c>
      <c r="AK44" s="62">
        <f>IF(AND(COUNT($V44)=1,OR($O44=4,$P44=4,$Q44=4,$R44=4,$S44=4,$T44=4)),INT($V44),"x")</f>
        <v>18</v>
      </c>
      <c r="AL44" s="63">
        <f>IF(AK44="x","",IF(AK44=SMALL($AK$22:$AK$76,1),AK44,""))</f>
        <v>18</v>
      </c>
      <c r="AM44" s="62">
        <f>IF(AND(COUNT($V44)=1,OR($O44=5,$P44=5,$Q44=5,$R44=5,$S44=5,$T44=5)),INT($V44),"x")</f>
        <v>18</v>
      </c>
      <c r="AN44" s="63">
        <f>IF(AM44="x","",IF(AM44=SMALL($AM$22:$AM$76,1),AM44,""))</f>
        <v>18</v>
      </c>
      <c r="AO44" s="62" t="str">
        <f>IF(AND(COUNT($V44)=1,OR($O44=6,$P44=6,$Q44=6,$R44=6,$S44=6,$T44=6)),INT($V44),"x")</f>
        <v>x</v>
      </c>
      <c r="AP44" s="63">
        <f>IF(AO44="x","",IF(AO44=SMALL($AO$22:$AO$76,1),AO44,""))</f>
      </c>
      <c r="AQ44" s="64"/>
      <c r="AR44" s="32"/>
    </row>
    <row r="45" spans="1:44" ht="15" customHeight="1">
      <c r="A45" s="366"/>
      <c r="B45" s="32"/>
      <c r="C45" s="367"/>
      <c r="D45" s="32"/>
      <c r="E45" s="2" t="str">
        <f>IF(E43="","",uitslagen!$B$49)</f>
        <v>DE</v>
      </c>
      <c r="F45" s="71"/>
      <c r="G45" s="71">
        <f>IF(E43="","",E43)</f>
        <v>1</v>
      </c>
      <c r="H45" s="490"/>
      <c r="I45" s="490"/>
      <c r="J45" s="490"/>
      <c r="K45" s="490"/>
      <c r="L45" s="490"/>
      <c r="M45" s="491">
        <v>3</v>
      </c>
      <c r="N45" s="492"/>
      <c r="O45" s="12">
        <v>1</v>
      </c>
      <c r="P45" s="12">
        <v>3</v>
      </c>
      <c r="Q45" s="12">
        <v>5</v>
      </c>
      <c r="R45" s="12">
        <v>4</v>
      </c>
      <c r="S45" s="468"/>
      <c r="T45" s="469"/>
      <c r="U45" s="61">
        <f>IF(V45="","",IF(COUNT(O45:T45)&lt;&gt;4,"X",""))</f>
      </c>
      <c r="V45" s="480">
        <v>19.02</v>
      </c>
      <c r="W45" s="481"/>
      <c r="X45" s="481"/>
      <c r="Y45" s="61">
        <f>IF($V45="","",IF($R$3&gt;$V45,"X",""))</f>
      </c>
      <c r="Z45" s="12" t="s">
        <v>2992</v>
      </c>
      <c r="AA45" s="11">
        <f>IF(G45="","",IF(OR(AND(V45="",Z45&lt;&gt;""),AND(V45&lt;&gt;"",Z45=""),AND(V45="w",Z45&lt;&gt;"w"),AND(V45="nt",Z45="w"),VLOOKUP($C$3&amp;"-"&amp;G45,'DE4'!$S$10:$AM$24,M45+16,FALSE)="x"),"x",""))</f>
      </c>
      <c r="AB45" s="61"/>
      <c r="AC45" s="61"/>
      <c r="AE45" s="62">
        <f>IF(AND(COUNT($V45)=1,OR($O45=1,$P45=1,$Q45=1,$R45=1,$S45=1,$T45=1)),INT($V45),"x")</f>
        <v>19</v>
      </c>
      <c r="AF45" s="63">
        <f>IF(AE45="x","",IF(AE45=SMALL($AE$22:$AE$76,1),AE45,""))</f>
      </c>
      <c r="AG45" s="62" t="str">
        <f>IF(AND(COUNT($V45)=1,OR($O45=2,$P45=2,$Q45=2,$R45=2,$S45=2,$T45=2)),INT($V45),"x")</f>
        <v>x</v>
      </c>
      <c r="AH45" s="63">
        <f>IF(AG45="x","",IF(AG45=SMALL($AG$22:$AG$76,1),AG45,""))</f>
      </c>
      <c r="AI45" s="62">
        <f>IF(AND(COUNT($V45)=1,OR($O45=3,$P45=3,$Q45=3,$R45=3,$S45=3,$T45=3)),INT($V45),"x")</f>
        <v>19</v>
      </c>
      <c r="AJ45" s="63">
        <f>IF(AI45="x","",IF(AI45=SMALL($AI$22:$AI$76,1),AI45,""))</f>
      </c>
      <c r="AK45" s="62">
        <f>IF(AND(COUNT($V45)=1,OR($O45=4,$P45=4,$Q45=4,$R45=4,$S45=4,$T45=4)),INT($V45),"x")</f>
        <v>19</v>
      </c>
      <c r="AL45" s="63">
        <f>IF(AK45="x","",IF(AK45=SMALL($AK$22:$AK$76,1),AK45,""))</f>
      </c>
      <c r="AM45" s="62">
        <f>IF(AND(COUNT($V45)=1,OR($O45=5,$P45=5,$Q45=5,$R45=5,$S45=5,$T45=5)),INT($V45),"x")</f>
        <v>19</v>
      </c>
      <c r="AN45" s="63">
        <f>IF(AM45="x","",IF(AM45=SMALL($AM$22:$AM$76,1),AM45,""))</f>
      </c>
      <c r="AO45" s="62" t="str">
        <f>IF(AND(COUNT($V45)=1,OR($O45=6,$P45=6,$Q45=6,$R45=6,$S45=6,$T45=6)),INT($V45),"x")</f>
        <v>x</v>
      </c>
      <c r="AP45" s="63">
        <f>IF(AO45="x","",IF(AO45=SMALL($AO$22:$AO$76,1),AO45,""))</f>
      </c>
      <c r="AQ45" s="64"/>
      <c r="AR45" s="32"/>
    </row>
    <row r="46" spans="1:44" ht="15" customHeight="1">
      <c r="A46" s="366"/>
      <c r="B46" s="32"/>
      <c r="C46" s="367"/>
      <c r="D46" s="32"/>
      <c r="E46" s="71">
        <f>IF(OR(COUNTIF(Z43:Z47,"w")=uitslagen!$H$49,MID(E43,1,1)="T"),2,IF(COUNTIF(Z43:Z47,"l")=uitslagen!$H$49,3,""))</f>
        <v>2</v>
      </c>
      <c r="G46" s="71">
        <f>IF(E43="","",E43)</f>
        <v>1</v>
      </c>
      <c r="H46" s="490"/>
      <c r="I46" s="490"/>
      <c r="J46" s="490"/>
      <c r="K46" s="490"/>
      <c r="L46" s="490"/>
      <c r="M46" s="491">
        <v>4</v>
      </c>
      <c r="N46" s="492"/>
      <c r="O46" s="12">
        <v>1</v>
      </c>
      <c r="P46" s="12">
        <v>3</v>
      </c>
      <c r="Q46" s="12">
        <v>5</v>
      </c>
      <c r="R46" s="12">
        <v>4</v>
      </c>
      <c r="S46" s="468"/>
      <c r="T46" s="469"/>
      <c r="U46" s="61">
        <f>IF(V46="","",IF(COUNT(O46:T46)&lt;&gt;4,"X",""))</f>
      </c>
      <c r="V46" s="480">
        <v>18.48</v>
      </c>
      <c r="W46" s="481"/>
      <c r="X46" s="481"/>
      <c r="Y46" s="61">
        <f>IF($V46="","",IF($R$3&gt;$V46,"X",""))</f>
      </c>
      <c r="Z46" s="12" t="s">
        <v>2992</v>
      </c>
      <c r="AA46" s="11">
        <f>IF(G46="","",IF(OR(AND(V46="",Z46&lt;&gt;""),AND(V46&lt;&gt;"",Z46=""),AND(V46="w",Z46&lt;&gt;"w"),AND(V46="nt",Z46="w"),VLOOKUP($C$3&amp;"-"&amp;G46,'DE4'!$S$10:$AM$24,M46+16,FALSE)="x"),"x",""))</f>
      </c>
      <c r="AB46" s="61"/>
      <c r="AC46" s="61"/>
      <c r="AE46" s="62">
        <f>IF(AND(COUNT($V46)=1,OR($O46=1,$P46=1,$Q46=1,$R46=1,$S46=1,$T46=1)),INT($V46),"x")</f>
        <v>18</v>
      </c>
      <c r="AF46" s="63">
        <f>IF(AE46="x","",IF(AE46=SMALL($AE$22:$AE$76,1),AE46,""))</f>
        <v>18</v>
      </c>
      <c r="AG46" s="62" t="str">
        <f>IF(AND(COUNT($V46)=1,OR($O46=2,$P46=2,$Q46=2,$R46=2,$S46=2,$T46=2)),INT($V46),"x")</f>
        <v>x</v>
      </c>
      <c r="AH46" s="63">
        <f>IF(AG46="x","",IF(AG46=SMALL($AG$22:$AG$76,1),AG46,""))</f>
      </c>
      <c r="AI46" s="62">
        <f>IF(AND(COUNT($V46)=1,OR($O46=3,$P46=3,$Q46=3,$R46=3,$S46=3,$T46=3)),INT($V46),"x")</f>
        <v>18</v>
      </c>
      <c r="AJ46" s="63">
        <f>IF(AI46="x","",IF(AI46=SMALL($AI$22:$AI$76,1),AI46,""))</f>
        <v>18</v>
      </c>
      <c r="AK46" s="62">
        <f>IF(AND(COUNT($V46)=1,OR($O46=4,$P46=4,$Q46=4,$R46=4,$S46=4,$T46=4)),INT($V46),"x")</f>
        <v>18</v>
      </c>
      <c r="AL46" s="63">
        <f>IF(AK46="x","",IF(AK46=SMALL($AK$22:$AK$76,1),AK46,""))</f>
        <v>18</v>
      </c>
      <c r="AM46" s="62">
        <f>IF(AND(COUNT($V46)=1,OR($O46=5,$P46=5,$Q46=5,$R46=5,$S46=5,$T46=5)),INT($V46),"x")</f>
        <v>18</v>
      </c>
      <c r="AN46" s="63">
        <f>IF(AM46="x","",IF(AM46=SMALL($AM$22:$AM$76,1),AM46,""))</f>
        <v>18</v>
      </c>
      <c r="AO46" s="62" t="str">
        <f>IF(AND(COUNT($V46)=1,OR($O46=6,$P46=6,$Q46=6,$R46=6,$S46=6,$T46=6)),INT($V46),"x")</f>
        <v>x</v>
      </c>
      <c r="AP46" s="63">
        <f>IF(AO46="x","",IF(AO46=SMALL($AO$22:$AO$76,1),AO46,""))</f>
      </c>
      <c r="AQ46" s="64"/>
      <c r="AR46" s="32"/>
    </row>
    <row r="47" spans="1:44" ht="15" customHeight="1">
      <c r="A47" s="366"/>
      <c r="B47" s="32"/>
      <c r="C47" s="367"/>
      <c r="D47" s="32"/>
      <c r="E47" s="72">
        <f>IF(E43=16,"FINALE",IF(E43=17,"FINALE  Herkansing",""))</f>
      </c>
      <c r="G47" s="71">
        <f>IF(E43="","",E43)</f>
        <v>1</v>
      </c>
      <c r="H47" s="490"/>
      <c r="I47" s="490"/>
      <c r="J47" s="490"/>
      <c r="K47" s="490"/>
      <c r="L47" s="490"/>
      <c r="M47" s="491">
        <v>5</v>
      </c>
      <c r="N47" s="492"/>
      <c r="O47" s="12"/>
      <c r="P47" s="12"/>
      <c r="Q47" s="12"/>
      <c r="R47" s="12"/>
      <c r="S47" s="468"/>
      <c r="T47" s="469"/>
      <c r="U47" s="61">
        <f>IF(V47="","",IF(COUNT(O47:T47)&lt;&gt;4,"X",""))</f>
      </c>
      <c r="V47" s="480"/>
      <c r="W47" s="481"/>
      <c r="X47" s="481"/>
      <c r="Y47" s="61">
        <f>IF($V47="","",IF($R$3&gt;$V47,"X",""))</f>
      </c>
      <c r="Z47" s="12"/>
      <c r="AA47" s="11">
        <f>IF(G47="","",IF(OR(AND(V47="",Z47&lt;&gt;""),AND(V47&lt;&gt;"",Z47=""),AND(V47="w",Z47&lt;&gt;"w"),AND(V47="nt",Z47="w"),VLOOKUP($C$3&amp;"-"&amp;G47,'DE4'!$S$10:$AM$24,M47+16,FALSE)="x"),"x",""))</f>
      </c>
      <c r="AB47" s="61"/>
      <c r="AC47" s="61"/>
      <c r="AE47" s="65" t="str">
        <f>IF(AND(COUNT($V47)=1,OR($O47=1,$P47=1,$Q47=1,$R47=1,$S47=1,$T47=1)),INT($V47),"x")</f>
        <v>x</v>
      </c>
      <c r="AF47" s="66">
        <f>IF(AE47="x","",IF(AE47=SMALL($AE$22:$AE$76,1),AE47,""))</f>
      </c>
      <c r="AG47" s="65" t="str">
        <f>IF(AND(COUNT($V47)=1,OR($O47=2,$P47=2,$Q47=2,$R47=2,$S47=2,$T47=2)),INT($V47),"x")</f>
        <v>x</v>
      </c>
      <c r="AH47" s="63">
        <f>IF(AG47="x","",IF(AG47=SMALL($AG$22:$AG$76,1),AG47,""))</f>
      </c>
      <c r="AI47" s="65" t="str">
        <f>IF(AND(COUNT($V47)=1,OR($O47=3,$P47=3,$Q47=3,$R47=3,$S47=3,$T47=3)),INT($V47),"x")</f>
        <v>x</v>
      </c>
      <c r="AJ47" s="63">
        <f>IF(AI47="x","",IF(AI47=SMALL($AI$22:$AI$76,1),AI47,""))</f>
      </c>
      <c r="AK47" s="65" t="str">
        <f>IF(AND(COUNT($V47)=1,OR($O47=4,$P47=4,$Q47=4,$R47=4,$S47=4,$T47=4)),INT($V47),"x")</f>
        <v>x</v>
      </c>
      <c r="AL47" s="63">
        <f>IF(AK47="x","",IF(AK47=SMALL($AK$22:$AK$76,1),AK47,""))</f>
      </c>
      <c r="AM47" s="65" t="str">
        <f>IF(AND(COUNT($V47)=1,OR($O47=5,$P47=5,$Q47=5,$R47=5,$S47=5,$T47=5)),INT($V47),"x")</f>
        <v>x</v>
      </c>
      <c r="AN47" s="63">
        <f>IF(AM47="x","",IF(AM47=SMALL($AM$22:$AM$76,1),AM47,""))</f>
      </c>
      <c r="AO47" s="65" t="str">
        <f>IF(AND(COUNT($V47)=1,OR($O47=6,$P47=6,$Q47=6,$R47=6,$S47=6,$T47=6)),INT($V47),"x")</f>
        <v>x</v>
      </c>
      <c r="AP47" s="63">
        <f>IF(AO47="x","",IF(AO47=SMALL($AO$22:$AO$76,1),AO47,""))</f>
      </c>
      <c r="AQ47" s="64"/>
      <c r="AR47" s="32"/>
    </row>
    <row r="48" spans="1:42" ht="3.75" customHeight="1">
      <c r="A48" s="366"/>
      <c r="B48" s="32"/>
      <c r="C48" s="367"/>
      <c r="E48" s="67"/>
      <c r="F48" s="67"/>
      <c r="G48" s="73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487"/>
      <c r="W48" s="487"/>
      <c r="X48" s="487"/>
      <c r="Y48" s="67"/>
      <c r="Z48" s="76"/>
      <c r="AA48" s="68"/>
      <c r="AB48" s="61"/>
      <c r="AC48" s="61"/>
      <c r="AE48" s="69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4" ht="15" customHeight="1">
      <c r="A49" s="366"/>
      <c r="B49" s="32"/>
      <c r="C49" s="367"/>
      <c r="D49" s="32"/>
      <c r="E49" s="55" t="str">
        <f>VLOOKUP("race",'[1]Strings'!$A$3:$K$102,'[1]Strings'!$A$1,FALSE)</f>
        <v>Rennen</v>
      </c>
      <c r="F49" s="55" t="str">
        <f>VLOOKUP("baan / piste",'[1]Strings'!$A$3:$K$102,'[1]Strings'!$A$1,FALSE)</f>
        <v>Bahn</v>
      </c>
      <c r="G49" s="55"/>
      <c r="H49" s="476" t="str">
        <f>VLOOKUP("tegen / contre",'[1]Strings'!$A$3:$K$102,'[1]Strings'!$A$1,FALSE)</f>
        <v>gegen</v>
      </c>
      <c r="I49" s="476"/>
      <c r="J49" s="476"/>
      <c r="K49" s="476"/>
      <c r="L49" s="477"/>
      <c r="M49" s="477" t="str">
        <f>VLOOKUP("heat",'[1]Strings'!$A$3:$K$102,'[1]Strings'!$A$1,FALSE)</f>
        <v>Lauf</v>
      </c>
      <c r="N49" s="477"/>
      <c r="O49" s="476" t="str">
        <f>VLOOKUP("Honden / chiens",'[1]Strings'!$A$3:$K$102,'[1]Strings'!$A$1,FALSE)</f>
        <v>Hunde</v>
      </c>
      <c r="P49" s="476"/>
      <c r="Q49" s="476"/>
      <c r="R49" s="476"/>
      <c r="S49" s="476"/>
      <c r="T49" s="476"/>
      <c r="U49" s="162" t="str">
        <f>VLOOKUP("          Tijd/temps",'[1]Strings'!$A$3:$K$102,'[1]Strings'!$A$1,FALSE)</f>
        <v>           Zeit</v>
      </c>
      <c r="V49" s="163"/>
      <c r="W49" s="163"/>
      <c r="X49" s="163"/>
      <c r="Y49" s="161" t="str">
        <f>VLOOKUP("    W / L / T",'[1]Strings'!$A$3:$K$102,'[1]Strings'!$A$1,FALSE)</f>
        <v>    W/L/T</v>
      </c>
      <c r="Z49" s="55"/>
      <c r="AA49" s="68"/>
      <c r="AB49" s="61"/>
      <c r="AC49" s="61"/>
      <c r="AD49" s="55"/>
      <c r="AE49" s="70"/>
      <c r="AF49" s="67"/>
      <c r="AG49" s="70"/>
      <c r="AH49" s="67"/>
      <c r="AI49" s="70"/>
      <c r="AJ49" s="67"/>
      <c r="AK49" s="70"/>
      <c r="AL49" s="67"/>
      <c r="AM49" s="70"/>
      <c r="AN49" s="67"/>
      <c r="AO49" s="70"/>
      <c r="AP49" s="67"/>
      <c r="AQ49" s="565"/>
      <c r="AR49" s="478"/>
    </row>
    <row r="50" spans="1:44" ht="15" customHeight="1">
      <c r="A50" s="366"/>
      <c r="B50" s="32"/>
      <c r="C50" s="367"/>
      <c r="D50" s="32"/>
      <c r="E50" s="488">
        <f>IF(OR(E46="",E43=""),"",VLOOKUP(E48&amp;"-"&amp;E43,'DE4'!$AX$10:$AZ$25,E46,FALSE))</f>
        <v>3</v>
      </c>
      <c r="F50" s="59" t="str">
        <f>IF(E50="","",IF(VLOOKUP($C$3&amp;"-"&amp;E50,'DE4'!$S$10:$AS$24,27,FALSE)="Rood",VLOOKUP("Rood / Rouge",'[1]Strings'!$A$3:$K$102,'[1]Strings'!$A$1,FALSE),""))</f>
        <v>Rot</v>
      </c>
      <c r="G50" s="71">
        <f>IF(E50="","",E50)</f>
        <v>3</v>
      </c>
      <c r="H50" s="478" t="str">
        <f>IF(E50="","",VLOOKUP($C$3&amp;"-"&amp;E50,'DE4'!$S$10:$AR$24,26,FALSE))</f>
        <v>Fast'nFurious Flyballteam</v>
      </c>
      <c r="I50" s="478"/>
      <c r="J50" s="478"/>
      <c r="K50" s="478"/>
      <c r="L50" s="479"/>
      <c r="M50" s="491">
        <v>1</v>
      </c>
      <c r="N50" s="492"/>
      <c r="O50" s="12">
        <v>1</v>
      </c>
      <c r="P50" s="12">
        <v>3</v>
      </c>
      <c r="Q50" s="12">
        <v>5</v>
      </c>
      <c r="R50" s="12">
        <v>4</v>
      </c>
      <c r="S50" s="468"/>
      <c r="T50" s="469"/>
      <c r="U50" s="61">
        <f>IF(V50="","",IF(COUNT(O50:T50)&lt;&gt;4,"X",""))</f>
      </c>
      <c r="V50" s="480" t="s">
        <v>2993</v>
      </c>
      <c r="W50" s="481"/>
      <c r="X50" s="481"/>
      <c r="Y50" s="61">
        <f>IF($V50="","",IF($R$3&gt;$V50,"X",""))</f>
      </c>
      <c r="Z50" s="12" t="s">
        <v>2994</v>
      </c>
      <c r="AA50" s="11">
        <f>IF(G50="","",IF(OR(AND(V50="",Z50&lt;&gt;""),AND(V50&lt;&gt;"",Z50=""),AND(V50="w",Z50&lt;&gt;"w"),AND(V50="nt",Z50="w"),VLOOKUP($C$3&amp;"-"&amp;G50,'DE4'!$S$10:$AM$24,M50+16,FALSE)="x"),"x",""))</f>
      </c>
      <c r="AB50" s="61"/>
      <c r="AC50" s="61"/>
      <c r="AE50" s="62" t="str">
        <f>IF(AND(COUNT($V50)=1,OR($O50=1,$P50=1,$Q50=1,$R50=1,$S50=1,$T50=1)),INT($V50),"x")</f>
        <v>x</v>
      </c>
      <c r="AF50" s="63">
        <f>IF(AE50="x","",IF(AE50=SMALL($AE$22:$AE$76,1),AE50,""))</f>
      </c>
      <c r="AG50" s="62" t="str">
        <f>IF(AND(COUNT($V50)=1,OR($O50=2,$P50=2,$Q50=2,$R50=2,$S50=2,$T50=2)),INT($V50),"x")</f>
        <v>x</v>
      </c>
      <c r="AH50" s="63">
        <f>IF(AG50="x","",IF(AG50=SMALL($AG$22:$AG$76,1),AG50,""))</f>
      </c>
      <c r="AI50" s="62" t="str">
        <f>IF(AND(COUNT($V50)=1,OR($O50=3,$P50=3,$Q50=3,$R50=3,$S50=3,$T50=3)),INT($V50),"x")</f>
        <v>x</v>
      </c>
      <c r="AJ50" s="63">
        <f>IF(AI50="x","",IF(AI50=SMALL($AI$22:$AI$76,1),AI50,""))</f>
      </c>
      <c r="AK50" s="62" t="str">
        <f>IF(AND(COUNT($V50)=1,OR($O50=4,$P50=4,$Q50=4,$R50=4,$S50=4,$T50=4)),INT($V50),"x")</f>
        <v>x</v>
      </c>
      <c r="AL50" s="63">
        <f>IF(AK50="x","",IF(AK50=SMALL($AK$22:$AK$76,1),AK50,""))</f>
      </c>
      <c r="AM50" s="62" t="str">
        <f>IF(AND(COUNT($V50)=1,OR($O50=5,$P50=5,$Q50=5,$R50=5,$S50=5,$T50=5)),INT($V50),"x")</f>
        <v>x</v>
      </c>
      <c r="AN50" s="63">
        <f>IF(AM50="x","",IF(AM50=SMALL($AM$22:$AM$76,1),AM50,""))</f>
      </c>
      <c r="AO50" s="62" t="str">
        <f>IF(AND(COUNT($V50)=1,OR($O50=6,$P50=6,$Q50=6,$R50=6,$S50=6,$T50=6)),INT($V50),"x")</f>
        <v>x</v>
      </c>
      <c r="AP50" s="63">
        <f>IF(AO50="x","",IF(AO50=SMALL($AO$22:$AO$76,1),AO50,""))</f>
      </c>
      <c r="AQ50" s="64"/>
      <c r="AR50" s="32"/>
    </row>
    <row r="51" spans="1:44" ht="15" customHeight="1">
      <c r="A51" s="366"/>
      <c r="B51" s="32"/>
      <c r="C51" s="367"/>
      <c r="D51" s="32"/>
      <c r="E51" s="489"/>
      <c r="F51" s="59">
        <f>IF(E50="","",IF(VLOOKUP($C$3&amp;"-"&amp;E50,'DE4'!$S$10:$AS$24,27,FALSE)="Blauw",VLOOKUP("Blauw / Bleu",'[1]Strings'!$A$3:$K$102,'[1]Strings'!$A$1,FALSE),""))</f>
      </c>
      <c r="G51" s="71">
        <f>IF(E50="","",E50)</f>
        <v>3</v>
      </c>
      <c r="H51" s="490">
        <f>IF(OR(U50="x",Y50="x",AA50="x"),"CONTROLEER INVOER       HEAT 1",IF(OR(U51="x",Y51="x",AA51="x"),"CONTROLEER INVOER       HEAT 2",IF(OR(U52="x",Y52="x",AA52="x"),"CONTROLEER INVOER       HEAT 3",IF(OR(U53="x",Y53="x",AA53="x"),"CONTROLEER INVOER       HEAT 4",IF(OR(U54="x",Y54="x",AA54="x"),"CONTROLEER INVOER       HEAT 5","")))))</f>
      </c>
      <c r="I51" s="490"/>
      <c r="J51" s="490"/>
      <c r="K51" s="490"/>
      <c r="L51" s="490"/>
      <c r="M51" s="491">
        <v>2</v>
      </c>
      <c r="N51" s="492"/>
      <c r="O51" s="12">
        <v>1</v>
      </c>
      <c r="P51" s="12">
        <v>3</v>
      </c>
      <c r="Q51" s="12">
        <v>5</v>
      </c>
      <c r="R51" s="12">
        <v>4</v>
      </c>
      <c r="S51" s="468"/>
      <c r="T51" s="469"/>
      <c r="U51" s="61">
        <f>IF(V51="","",IF(COUNT(O51:T51)&lt;&gt;4,"X",""))</f>
      </c>
      <c r="V51" s="480">
        <v>18.28</v>
      </c>
      <c r="W51" s="481"/>
      <c r="X51" s="481"/>
      <c r="Y51" s="61">
        <f>IF($V51="","",IF($R$3&gt;$V51,"X",""))</f>
      </c>
      <c r="Z51" s="12" t="s">
        <v>2992</v>
      </c>
      <c r="AA51" s="11">
        <f>IF(G51="","",IF(OR(AND(V51="",Z51&lt;&gt;""),AND(V51&lt;&gt;"",Z51=""),AND(V51="w",Z51&lt;&gt;"w"),AND(V51="nt",Z51="w"),VLOOKUP($C$3&amp;"-"&amp;G51,'DE4'!$S$10:$AM$24,M51+16,FALSE)="x"),"x",""))</f>
      </c>
      <c r="AB51" s="61"/>
      <c r="AC51" s="61"/>
      <c r="AE51" s="62">
        <f>IF(AND(COUNT($V51)=1,OR($O51=1,$P51=1,$Q51=1,$R51=1,$S51=1,$T51=1)),INT($V51),"x")</f>
        <v>18</v>
      </c>
      <c r="AF51" s="63">
        <f>IF(AE51="x","",IF(AE51=SMALL($AE$22:$AE$76,1),AE51,""))</f>
        <v>18</v>
      </c>
      <c r="AG51" s="62" t="str">
        <f>IF(AND(COUNT($V51)=1,OR($O51=2,$P51=2,$Q51=2,$R51=2,$S51=2,$T51=2)),INT($V51),"x")</f>
        <v>x</v>
      </c>
      <c r="AH51" s="63">
        <f>IF(AG51="x","",IF(AG51=SMALL($AG$22:$AG$76,1),AG51,""))</f>
      </c>
      <c r="AI51" s="62">
        <f>IF(AND(COUNT($V51)=1,OR($O51=3,$P51=3,$Q51=3,$R51=3,$S51=3,$T51=3)),INT($V51),"x")</f>
        <v>18</v>
      </c>
      <c r="AJ51" s="63">
        <f>IF(AI51="x","",IF(AI51=SMALL($AI$22:$AI$76,1),AI51,""))</f>
        <v>18</v>
      </c>
      <c r="AK51" s="62">
        <f>IF(AND(COUNT($V51)=1,OR($O51=4,$P51=4,$Q51=4,$R51=4,$S51=4,$T51=4)),INT($V51),"x")</f>
        <v>18</v>
      </c>
      <c r="AL51" s="63">
        <f>IF(AK51="x","",IF(AK51=SMALL($AK$22:$AK$76,1),AK51,""))</f>
        <v>18</v>
      </c>
      <c r="AM51" s="62">
        <f>IF(AND(COUNT($V51)=1,OR($O51=5,$P51=5,$Q51=5,$R51=5,$S51=5,$T51=5)),INT($V51),"x")</f>
        <v>18</v>
      </c>
      <c r="AN51" s="63">
        <f>IF(AM51="x","",IF(AM51=SMALL($AM$22:$AM$76,1),AM51,""))</f>
        <v>18</v>
      </c>
      <c r="AO51" s="62" t="str">
        <f>IF(AND(COUNT($V51)=1,OR($O51=6,$P51=6,$Q51=6,$R51=6,$S51=6,$T51=6)),INT($V51),"x")</f>
        <v>x</v>
      </c>
      <c r="AP51" s="63">
        <f>IF(AO51="x","",IF(AO51=SMALL($AO$22:$AO$76,1),AO51,""))</f>
      </c>
      <c r="AQ51" s="64"/>
      <c r="AR51" s="32"/>
    </row>
    <row r="52" spans="1:44" ht="15" customHeight="1">
      <c r="A52" s="366"/>
      <c r="B52" s="32"/>
      <c r="C52" s="367"/>
      <c r="D52" s="32"/>
      <c r="E52" s="2" t="str">
        <f>IF(E50="","",uitslagen!$B$49)</f>
        <v>DE</v>
      </c>
      <c r="F52" s="71"/>
      <c r="G52" s="71">
        <f>IF(E50="","",E50)</f>
        <v>3</v>
      </c>
      <c r="H52" s="490"/>
      <c r="I52" s="490"/>
      <c r="J52" s="490"/>
      <c r="K52" s="490"/>
      <c r="L52" s="490"/>
      <c r="M52" s="491">
        <v>3</v>
      </c>
      <c r="N52" s="492"/>
      <c r="O52" s="12">
        <v>1</v>
      </c>
      <c r="P52" s="12">
        <v>3</v>
      </c>
      <c r="Q52" s="12">
        <v>5</v>
      </c>
      <c r="R52" s="12">
        <v>4</v>
      </c>
      <c r="S52" s="468"/>
      <c r="T52" s="469"/>
      <c r="U52" s="61">
        <f>IF(V52="","",IF(COUNT(O52:T52)&lt;&gt;4,"X",""))</f>
      </c>
      <c r="V52" s="480" t="s">
        <v>2993</v>
      </c>
      <c r="W52" s="481"/>
      <c r="X52" s="481"/>
      <c r="Y52" s="61">
        <f>IF($V52="","",IF($R$3&gt;$V52,"X",""))</f>
      </c>
      <c r="Z52" s="12" t="s">
        <v>2994</v>
      </c>
      <c r="AA52" s="11">
        <f>IF(G52="","",IF(OR(AND(V52="",Z52&lt;&gt;""),AND(V52&lt;&gt;"",Z52=""),AND(V52="w",Z52&lt;&gt;"w"),AND(V52="nt",Z52="w"),VLOOKUP($C$3&amp;"-"&amp;G52,'DE4'!$S$10:$AM$24,M52+16,FALSE)="x"),"x",""))</f>
      </c>
      <c r="AB52" s="61"/>
      <c r="AC52" s="61"/>
      <c r="AE52" s="62" t="str">
        <f>IF(AND(COUNT($V52)=1,OR($O52=1,$P52=1,$Q52=1,$R52=1,$S52=1,$T52=1)),INT($V52),"x")</f>
        <v>x</v>
      </c>
      <c r="AF52" s="63">
        <f>IF(AE52="x","",IF(AE52=SMALL($AE$22:$AE$76,1),AE52,""))</f>
      </c>
      <c r="AG52" s="62" t="str">
        <f>IF(AND(COUNT($V52)=1,OR($O52=2,$P52=2,$Q52=2,$R52=2,$S52=2,$T52=2)),INT($V52),"x")</f>
        <v>x</v>
      </c>
      <c r="AH52" s="63">
        <f>IF(AG52="x","",IF(AG52=SMALL($AG$22:$AG$76,1),AG52,""))</f>
      </c>
      <c r="AI52" s="62" t="str">
        <f>IF(AND(COUNT($V52)=1,OR($O52=3,$P52=3,$Q52=3,$R52=3,$S52=3,$T52=3)),INT($V52),"x")</f>
        <v>x</v>
      </c>
      <c r="AJ52" s="63">
        <f>IF(AI52="x","",IF(AI52=SMALL($AI$22:$AI$76,1),AI52,""))</f>
      </c>
      <c r="AK52" s="62" t="str">
        <f>IF(AND(COUNT($V52)=1,OR($O52=4,$P52=4,$Q52=4,$R52=4,$S52=4,$T52=4)),INT($V52),"x")</f>
        <v>x</v>
      </c>
      <c r="AL52" s="63">
        <f>IF(AK52="x","",IF(AK52=SMALL($AK$22:$AK$76,1),AK52,""))</f>
      </c>
      <c r="AM52" s="62" t="str">
        <f>IF(AND(COUNT($V52)=1,OR($O52=5,$P52=5,$Q52=5,$R52=5,$S52=5,$T52=5)),INT($V52),"x")</f>
        <v>x</v>
      </c>
      <c r="AN52" s="63">
        <f>IF(AM52="x","",IF(AM52=SMALL($AM$22:$AM$76,1),AM52,""))</f>
      </c>
      <c r="AO52" s="62" t="str">
        <f>IF(AND(COUNT($V52)=1,OR($O52=6,$P52=6,$Q52=6,$R52=6,$S52=6,$T52=6)),INT($V52),"x")</f>
        <v>x</v>
      </c>
      <c r="AP52" s="63">
        <f>IF(AO52="x","",IF(AO52=SMALL($AO$22:$AO$76,1),AO52,""))</f>
      </c>
      <c r="AQ52" s="64"/>
      <c r="AR52" s="32"/>
    </row>
    <row r="53" spans="1:44" ht="15" customHeight="1">
      <c r="A53" s="366"/>
      <c r="B53" s="32"/>
      <c r="C53" s="367"/>
      <c r="D53" s="32"/>
      <c r="E53" s="71">
        <f>IF(OR(COUNTIF(Z50:Z54,"w")=uitslagen!$H$49,MID(E50,1,1)="T"),2,IF(COUNTIF(Z50:Z54,"l")=uitslagen!$H$49,3,""))</f>
        <v>2</v>
      </c>
      <c r="G53" s="71">
        <f>IF(E50="","",E50)</f>
        <v>3</v>
      </c>
      <c r="H53" s="490"/>
      <c r="I53" s="490"/>
      <c r="J53" s="490"/>
      <c r="K53" s="490"/>
      <c r="L53" s="490"/>
      <c r="M53" s="491">
        <v>4</v>
      </c>
      <c r="N53" s="492"/>
      <c r="O53" s="12">
        <v>1</v>
      </c>
      <c r="P53" s="12">
        <v>3</v>
      </c>
      <c r="Q53" s="12">
        <v>5</v>
      </c>
      <c r="R53" s="12">
        <v>4</v>
      </c>
      <c r="S53" s="468"/>
      <c r="T53" s="469"/>
      <c r="U53" s="61">
        <f>IF(V53="","",IF(COUNT(O53:T53)&lt;&gt;4,"X",""))</f>
      </c>
      <c r="V53" s="480">
        <v>18.54</v>
      </c>
      <c r="W53" s="481"/>
      <c r="X53" s="481"/>
      <c r="Y53" s="61">
        <f>IF($V53="","",IF($R$3&gt;$V53,"X",""))</f>
      </c>
      <c r="Z53" s="12" t="s">
        <v>2992</v>
      </c>
      <c r="AA53" s="11">
        <f>IF(G53="","",IF(OR(AND(V53="",Z53&lt;&gt;""),AND(V53&lt;&gt;"",Z53=""),AND(V53="w",Z53&lt;&gt;"w"),AND(V53="nt",Z53="w"),VLOOKUP($C$3&amp;"-"&amp;G53,'DE4'!$S$10:$AM$24,M53+16,FALSE)="x"),"x",""))</f>
      </c>
      <c r="AB53" s="61"/>
      <c r="AC53" s="61"/>
      <c r="AE53" s="62">
        <f>IF(AND(COUNT($V53)=1,OR($O53=1,$P53=1,$Q53=1,$R53=1,$S53=1,$T53=1)),INT($V53),"x")</f>
        <v>18</v>
      </c>
      <c r="AF53" s="63">
        <f>IF(AE53="x","",IF(AE53=SMALL($AE$22:$AE$76,1),AE53,""))</f>
        <v>18</v>
      </c>
      <c r="AG53" s="62" t="str">
        <f>IF(AND(COUNT($V53)=1,OR($O53=2,$P53=2,$Q53=2,$R53=2,$S53=2,$T53=2)),INT($V53),"x")</f>
        <v>x</v>
      </c>
      <c r="AH53" s="63">
        <f>IF(AG53="x","",IF(AG53=SMALL($AG$22:$AG$76,1),AG53,""))</f>
      </c>
      <c r="AI53" s="62">
        <f>IF(AND(COUNT($V53)=1,OR($O53=3,$P53=3,$Q53=3,$R53=3,$S53=3,$T53=3)),INT($V53),"x")</f>
        <v>18</v>
      </c>
      <c r="AJ53" s="63">
        <f>IF(AI53="x","",IF(AI53=SMALL($AI$22:$AI$76,1),AI53,""))</f>
        <v>18</v>
      </c>
      <c r="AK53" s="62">
        <f>IF(AND(COUNT($V53)=1,OR($O53=4,$P53=4,$Q53=4,$R53=4,$S53=4,$T53=4)),INT($V53),"x")</f>
        <v>18</v>
      </c>
      <c r="AL53" s="63">
        <f>IF(AK53="x","",IF(AK53=SMALL($AK$22:$AK$76,1),AK53,""))</f>
        <v>18</v>
      </c>
      <c r="AM53" s="62">
        <f>IF(AND(COUNT($V53)=1,OR($O53=5,$P53=5,$Q53=5,$R53=5,$S53=5,$T53=5)),INT($V53),"x")</f>
        <v>18</v>
      </c>
      <c r="AN53" s="63">
        <f>IF(AM53="x","",IF(AM53=SMALL($AM$22:$AM$76,1),AM53,""))</f>
        <v>18</v>
      </c>
      <c r="AO53" s="62" t="str">
        <f>IF(AND(COUNT($V53)=1,OR($O53=6,$P53=6,$Q53=6,$R53=6,$S53=6,$T53=6)),INT($V53),"x")</f>
        <v>x</v>
      </c>
      <c r="AP53" s="63">
        <f>IF(AO53="x","",IF(AO53=SMALL($AO$22:$AO$76,1),AO53,""))</f>
      </c>
      <c r="AQ53" s="64"/>
      <c r="AR53" s="32"/>
    </row>
    <row r="54" spans="1:44" ht="15" customHeight="1">
      <c r="A54" s="366"/>
      <c r="B54" s="32"/>
      <c r="C54" s="367"/>
      <c r="D54" s="32"/>
      <c r="E54" s="74">
        <f>IF(E50=16,"FINALE",IF(E50=17,"FINALE  Herkansing",""))</f>
      </c>
      <c r="G54" s="71">
        <f>IF(E50="","",E50)</f>
        <v>3</v>
      </c>
      <c r="H54" s="490"/>
      <c r="I54" s="490"/>
      <c r="J54" s="490"/>
      <c r="K54" s="490"/>
      <c r="L54" s="490"/>
      <c r="M54" s="491">
        <v>5</v>
      </c>
      <c r="N54" s="492"/>
      <c r="O54" s="12">
        <v>1</v>
      </c>
      <c r="P54" s="12">
        <v>3</v>
      </c>
      <c r="Q54" s="12">
        <v>5</v>
      </c>
      <c r="R54" s="12">
        <v>4</v>
      </c>
      <c r="S54" s="468"/>
      <c r="T54" s="469"/>
      <c r="U54" s="61">
        <f>IF(V54="","",IF(COUNT(O54:T54)&lt;&gt;4,"X",""))</f>
      </c>
      <c r="V54" s="480">
        <v>19.25</v>
      </c>
      <c r="W54" s="481"/>
      <c r="X54" s="481"/>
      <c r="Y54" s="61">
        <f>IF($V54="","",IF($R$3&gt;$V54,"X",""))</f>
      </c>
      <c r="Z54" s="12" t="s">
        <v>2992</v>
      </c>
      <c r="AA54" s="11">
        <f>IF(G54="","",IF(OR(AND(V54="",Z54&lt;&gt;""),AND(V54&lt;&gt;"",Z54=""),AND(V54="w",Z54&lt;&gt;"w"),AND(V54="nt",Z54="w"),VLOOKUP($C$3&amp;"-"&amp;G54,'DE4'!$S$10:$AM$24,M54+16,FALSE)="x"),"x",""))</f>
      </c>
      <c r="AB54" s="61"/>
      <c r="AC54" s="61"/>
      <c r="AE54" s="65">
        <f>IF(AND(COUNT($V54)=1,OR($O54=1,$P54=1,$Q54=1,$R54=1,$S54=1,$T54=1)),INT($V54),"x")</f>
        <v>19</v>
      </c>
      <c r="AF54" s="66">
        <f>IF(AE54="x","",IF(AE54=SMALL($AE$22:$AE$76,1),AE54,""))</f>
      </c>
      <c r="AG54" s="65" t="str">
        <f>IF(AND(COUNT($V54)=1,OR($O54=2,$P54=2,$Q54=2,$R54=2,$S54=2,$T54=2)),INT($V54),"x")</f>
        <v>x</v>
      </c>
      <c r="AH54" s="63">
        <f>IF(AG54="x","",IF(AG54=SMALL($AG$22:$AG$76,1),AG54,""))</f>
      </c>
      <c r="AI54" s="65">
        <f>IF(AND(COUNT($V54)=1,OR($O54=3,$P54=3,$Q54=3,$R54=3,$S54=3,$T54=3)),INT($V54),"x")</f>
        <v>19</v>
      </c>
      <c r="AJ54" s="63">
        <f>IF(AI54="x","",IF(AI54=SMALL($AI$22:$AI$76,1),AI54,""))</f>
      </c>
      <c r="AK54" s="65">
        <f>IF(AND(COUNT($V54)=1,OR($O54=4,$P54=4,$Q54=4,$R54=4,$S54=4,$T54=4)),INT($V54),"x")</f>
        <v>19</v>
      </c>
      <c r="AL54" s="63">
        <f>IF(AK54="x","",IF(AK54=SMALL($AK$22:$AK$76,1),AK54,""))</f>
      </c>
      <c r="AM54" s="65">
        <f>IF(AND(COUNT($V54)=1,OR($O54=5,$P54=5,$Q54=5,$R54=5,$S54=5,$T54=5)),INT($V54),"x")</f>
        <v>19</v>
      </c>
      <c r="AN54" s="63">
        <f>IF(AM54="x","",IF(AM54=SMALL($AM$22:$AM$76,1),AM54,""))</f>
      </c>
      <c r="AO54" s="65" t="str">
        <f>IF(AND(COUNT($V54)=1,OR($O54=6,$P54=6,$Q54=6,$R54=6,$S54=6,$T54=6)),INT($V54),"x")</f>
        <v>x</v>
      </c>
      <c r="AP54" s="63">
        <f>IF(AO54="x","",IF(AO54=SMALL($AO$22:$AO$76,1),AO54,""))</f>
      </c>
      <c r="AQ54" s="64"/>
      <c r="AR54" s="32"/>
    </row>
    <row r="55" spans="1:42" ht="3.75" customHeight="1">
      <c r="A55" s="366"/>
      <c r="B55" s="32"/>
      <c r="C55" s="367"/>
      <c r="E55" s="67"/>
      <c r="F55" s="67"/>
      <c r="G55" s="7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487"/>
      <c r="W55" s="487"/>
      <c r="X55" s="487"/>
      <c r="Y55" s="67"/>
      <c r="Z55" s="76"/>
      <c r="AA55" s="68"/>
      <c r="AB55" s="61"/>
      <c r="AC55" s="61"/>
      <c r="AE55" s="69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</row>
    <row r="56" spans="1:44" ht="15" customHeight="1">
      <c r="A56" s="366"/>
      <c r="B56" s="32"/>
      <c r="C56" s="367"/>
      <c r="D56" s="32"/>
      <c r="E56" s="55" t="str">
        <f>VLOOKUP("race",'[1]Strings'!$A$3:$K$102,'[1]Strings'!$A$1,FALSE)</f>
        <v>Rennen</v>
      </c>
      <c r="F56" s="55" t="str">
        <f>VLOOKUP("baan / piste",'[1]Strings'!$A$3:$K$102,'[1]Strings'!$A$1,FALSE)</f>
        <v>Bahn</v>
      </c>
      <c r="G56" s="55"/>
      <c r="H56" s="476" t="str">
        <f>VLOOKUP("tegen / contre",'[1]Strings'!$A$3:$K$102,'[1]Strings'!$A$1,FALSE)</f>
        <v>gegen</v>
      </c>
      <c r="I56" s="476"/>
      <c r="J56" s="476"/>
      <c r="K56" s="476"/>
      <c r="L56" s="477"/>
      <c r="M56" s="477" t="str">
        <f>VLOOKUP("heat",'[1]Strings'!$A$3:$K$102,'[1]Strings'!$A$1,FALSE)</f>
        <v>Lauf</v>
      </c>
      <c r="N56" s="477"/>
      <c r="O56" s="476" t="str">
        <f>VLOOKUP("Honden / chiens",'[1]Strings'!$A$3:$K$102,'[1]Strings'!$A$1,FALSE)</f>
        <v>Hunde</v>
      </c>
      <c r="P56" s="476"/>
      <c r="Q56" s="476"/>
      <c r="R56" s="476"/>
      <c r="S56" s="476"/>
      <c r="T56" s="476"/>
      <c r="U56" s="162" t="str">
        <f>VLOOKUP("          Tijd/temps",'[1]Strings'!$A$3:$K$102,'[1]Strings'!$A$1,FALSE)</f>
        <v>           Zeit</v>
      </c>
      <c r="V56" s="163"/>
      <c r="W56" s="163"/>
      <c r="X56" s="163"/>
      <c r="Y56" s="161" t="str">
        <f>VLOOKUP("    W / L / T",'[1]Strings'!$A$3:$K$102,'[1]Strings'!$A$1,FALSE)</f>
        <v>    W/L/T</v>
      </c>
      <c r="Z56" s="55"/>
      <c r="AA56" s="68"/>
      <c r="AB56" s="61"/>
      <c r="AC56" s="61"/>
      <c r="AD56" s="55"/>
      <c r="AE56" s="70"/>
      <c r="AF56" s="67"/>
      <c r="AG56" s="70"/>
      <c r="AH56" s="67"/>
      <c r="AI56" s="70"/>
      <c r="AJ56" s="67"/>
      <c r="AK56" s="70"/>
      <c r="AL56" s="67"/>
      <c r="AM56" s="70"/>
      <c r="AN56" s="67"/>
      <c r="AO56" s="70"/>
      <c r="AP56" s="67"/>
      <c r="AQ56" s="565"/>
      <c r="AR56" s="478"/>
    </row>
    <row r="57" spans="1:44" ht="15" customHeight="1">
      <c r="A57" s="366"/>
      <c r="B57" s="32"/>
      <c r="C57" s="367"/>
      <c r="D57" s="32"/>
      <c r="E57" s="488">
        <f>IF(OR(E53="",E50=""),"",VLOOKUP(E43&amp;"-"&amp;E50,'DE4'!$AX$10:$AZ$25,E53,FALSE))</f>
        <v>6</v>
      </c>
      <c r="F57" s="59" t="str">
        <f>IF(E57="","",IF(VLOOKUP($C$3&amp;"-"&amp;E57,'DE4'!$S$10:$AS$24,27,FALSE)="Rood",VLOOKUP("Rood / Rouge",'[1]Strings'!$A$3:$K$102,'[1]Strings'!$A$1,FALSE),""))</f>
        <v>Rot</v>
      </c>
      <c r="G57" s="71">
        <f>IF(E57="","",E57)</f>
        <v>6</v>
      </c>
      <c r="H57" s="478" t="str">
        <f>IF(E57="","",VLOOKUP($C$3&amp;"-"&amp;E57,'DE4'!$S$10:$AR$24,26,FALSE))</f>
        <v>BayernXpress I</v>
      </c>
      <c r="I57" s="478"/>
      <c r="J57" s="478"/>
      <c r="K57" s="478"/>
      <c r="L57" s="479"/>
      <c r="M57" s="491">
        <v>1</v>
      </c>
      <c r="N57" s="492"/>
      <c r="O57" s="12">
        <v>1</v>
      </c>
      <c r="P57" s="12">
        <v>3</v>
      </c>
      <c r="Q57" s="12">
        <v>5</v>
      </c>
      <c r="R57" s="12">
        <v>4</v>
      </c>
      <c r="S57" s="468"/>
      <c r="T57" s="469"/>
      <c r="U57" s="61">
        <f>IF(V57="","",IF(COUNT(O57:T57)&lt;&gt;4,"X",""))</f>
      </c>
      <c r="V57" s="480">
        <v>18.92</v>
      </c>
      <c r="W57" s="481"/>
      <c r="X57" s="481"/>
      <c r="Y57" s="61">
        <f>IF($V57="","",IF($R$3&gt;$V57,"X",""))</f>
      </c>
      <c r="Z57" s="12" t="s">
        <v>2992</v>
      </c>
      <c r="AA57" s="11">
        <f>IF(G57="","",IF(OR(AND(V57="",Z57&lt;&gt;""),AND(V57&lt;&gt;"",Z57=""),AND(V57="w",Z57&lt;&gt;"w"),AND(V57="nt",Z57="w"),VLOOKUP($C$3&amp;"-"&amp;G57,'DE4'!$S$10:$AM$24,M57+16,FALSE)="x"),"x",""))</f>
      </c>
      <c r="AB57" s="61"/>
      <c r="AC57" s="61"/>
      <c r="AE57" s="62">
        <f>IF(AND(COUNT($V57)=1,OR($O57=1,$P57=1,$Q57=1,$R57=1,$S57=1,$T57=1)),INT($V57),"x")</f>
        <v>18</v>
      </c>
      <c r="AF57" s="63">
        <f>IF(AE57="x","",IF(AE57=SMALL($AE$22:$AE$76,1),AE57,""))</f>
        <v>18</v>
      </c>
      <c r="AG57" s="62" t="str">
        <f>IF(AND(COUNT($V57)=1,OR($O57=2,$P57=2,$Q57=2,$R57=2,$S57=2,$T57=2)),INT($V57),"x")</f>
        <v>x</v>
      </c>
      <c r="AH57" s="63">
        <f>IF(AG57="x","",IF(AG57=SMALL($AG$22:$AG$76,1),AG57,""))</f>
      </c>
      <c r="AI57" s="62">
        <f>IF(AND(COUNT($V57)=1,OR($O57=3,$P57=3,$Q57=3,$R57=3,$S57=3,$T57=3)),INT($V57),"x")</f>
        <v>18</v>
      </c>
      <c r="AJ57" s="63">
        <f>IF(AI57="x","",IF(AI57=SMALL($AI$22:$AI$76,1),AI57,""))</f>
        <v>18</v>
      </c>
      <c r="AK57" s="62">
        <f>IF(AND(COUNT($V57)=1,OR($O57=4,$P57=4,$Q57=4,$R57=4,$S57=4,$T57=4)),INT($V57),"x")</f>
        <v>18</v>
      </c>
      <c r="AL57" s="63">
        <f>IF(AK57="x","",IF(AK57=SMALL($AK$22:$AK$76,1),AK57,""))</f>
        <v>18</v>
      </c>
      <c r="AM57" s="62">
        <f>IF(AND(COUNT($V57)=1,OR($O57=5,$P57=5,$Q57=5,$R57=5,$S57=5,$T57=5)),INT($V57),"x")</f>
        <v>18</v>
      </c>
      <c r="AN57" s="63">
        <f>IF(AM57="x","",IF(AM57=SMALL($AM$22:$AM$76,1),AM57,""))</f>
        <v>18</v>
      </c>
      <c r="AO57" s="62" t="str">
        <f>IF(AND(COUNT($V57)=1,OR($O57=6,$P57=6,$Q57=6,$R57=6,$S57=6,$T57=6)),INT($V57),"x")</f>
        <v>x</v>
      </c>
      <c r="AP57" s="63">
        <f>IF(AO57="x","",IF(AO57=SMALL($AO$22:$AO$76,1),AO57,""))</f>
      </c>
      <c r="AQ57" s="64"/>
      <c r="AR57" s="32"/>
    </row>
    <row r="58" spans="1:44" ht="15" customHeight="1">
      <c r="A58" s="366"/>
      <c r="B58" s="32"/>
      <c r="C58" s="367"/>
      <c r="D58" s="32"/>
      <c r="E58" s="489"/>
      <c r="F58" s="59">
        <f>IF(E57="","",IF(VLOOKUP($C$3&amp;"-"&amp;E57,'DE4'!$S$10:$AS$24,27,FALSE)="Blauw",VLOOKUP("Blauw / Bleu",'[1]Strings'!$A$3:$K$102,'[1]Strings'!$A$1,FALSE),""))</f>
      </c>
      <c r="G58" s="71">
        <f>IF(E57="","",E57)</f>
        <v>6</v>
      </c>
      <c r="H58" s="490">
        <f>IF(OR(U57="x",Y57="x",AA57="x"),"CONTROLEER INVOER       HEAT 1",IF(OR(U58="x",Y58="x",AA58="x"),"CONTROLEER INVOER       HEAT 2",IF(OR(U59="x",Y59="x",AA59="x"),"CONTROLEER INVOER       HEAT 3",IF(OR(U60="x",Y60="x",AA60="x"),"CONTROLEER INVOER       HEAT 4",IF(OR(U61="x",Y61="x",AA61="x"),"CONTROLEER INVOER       HEAT 5","")))))</f>
      </c>
      <c r="I58" s="490"/>
      <c r="J58" s="490"/>
      <c r="K58" s="490"/>
      <c r="L58" s="490"/>
      <c r="M58" s="491">
        <v>2</v>
      </c>
      <c r="N58" s="492"/>
      <c r="O58" s="12">
        <v>1</v>
      </c>
      <c r="P58" s="12">
        <v>3</v>
      </c>
      <c r="Q58" s="12">
        <v>5</v>
      </c>
      <c r="R58" s="12">
        <v>4</v>
      </c>
      <c r="S58" s="468"/>
      <c r="T58" s="469"/>
      <c r="U58" s="61">
        <f>IF(V58="","",IF(COUNT(O58:T58)&lt;&gt;4,"X",""))</f>
      </c>
      <c r="V58" s="480">
        <v>18.74</v>
      </c>
      <c r="W58" s="481"/>
      <c r="X58" s="481"/>
      <c r="Y58" s="61">
        <f>IF($V58="","",IF($R$3&gt;$V58,"X",""))</f>
      </c>
      <c r="Z58" s="12" t="s">
        <v>2992</v>
      </c>
      <c r="AA58" s="11">
        <f>IF(G58="","",IF(OR(AND(V58="",Z58&lt;&gt;""),AND(V58&lt;&gt;"",Z58=""),AND(V58="w",Z58&lt;&gt;"w"),AND(V58="nt",Z58="w"),VLOOKUP($C$3&amp;"-"&amp;G58,'DE4'!$S$10:$AM$24,M58+16,FALSE)="x"),"x",""))</f>
      </c>
      <c r="AB58" s="61"/>
      <c r="AC58" s="61"/>
      <c r="AE58" s="62">
        <f>IF(AND(COUNT($V58)=1,OR($O58=1,$P58=1,$Q58=1,$R58=1,$S58=1,$T58=1)),INT($V58),"x")</f>
        <v>18</v>
      </c>
      <c r="AF58" s="63">
        <f>IF(AE58="x","",IF(AE58=SMALL($AE$22:$AE$76,1),AE58,""))</f>
        <v>18</v>
      </c>
      <c r="AG58" s="62" t="str">
        <f>IF(AND(COUNT($V58)=1,OR($O58=2,$P58=2,$Q58=2,$R58=2,$S58=2,$T58=2)),INT($V58),"x")</f>
        <v>x</v>
      </c>
      <c r="AH58" s="63">
        <f>IF(AG58="x","",IF(AG58=SMALL($AG$22:$AG$76,1),AG58,""))</f>
      </c>
      <c r="AI58" s="62">
        <f>IF(AND(COUNT($V58)=1,OR($O58=3,$P58=3,$Q58=3,$R58=3,$S58=3,$T58=3)),INT($V58),"x")</f>
        <v>18</v>
      </c>
      <c r="AJ58" s="63">
        <f>IF(AI58="x","",IF(AI58=SMALL($AI$22:$AI$76,1),AI58,""))</f>
        <v>18</v>
      </c>
      <c r="AK58" s="62">
        <f>IF(AND(COUNT($V58)=1,OR($O58=4,$P58=4,$Q58=4,$R58=4,$S58=4,$T58=4)),INT($V58),"x")</f>
        <v>18</v>
      </c>
      <c r="AL58" s="63">
        <f>IF(AK58="x","",IF(AK58=SMALL($AK$22:$AK$76,1),AK58,""))</f>
        <v>18</v>
      </c>
      <c r="AM58" s="62">
        <f>IF(AND(COUNT($V58)=1,OR($O58=5,$P58=5,$Q58=5,$R58=5,$S58=5,$T58=5)),INT($V58),"x")</f>
        <v>18</v>
      </c>
      <c r="AN58" s="63">
        <f>IF(AM58="x","",IF(AM58=SMALL($AM$22:$AM$76,1),AM58,""))</f>
        <v>18</v>
      </c>
      <c r="AO58" s="62" t="str">
        <f>IF(AND(COUNT($V58)=1,OR($O58=6,$P58=6,$Q58=6,$R58=6,$S58=6,$T58=6)),INT($V58),"x")</f>
        <v>x</v>
      </c>
      <c r="AP58" s="63">
        <f>IF(AO58="x","",IF(AO58=SMALL($AO$22:$AO$76,1),AO58,""))</f>
      </c>
      <c r="AQ58" s="64"/>
      <c r="AR58" s="32"/>
    </row>
    <row r="59" spans="1:44" ht="15" customHeight="1">
      <c r="A59" s="366"/>
      <c r="B59" s="32"/>
      <c r="C59" s="367"/>
      <c r="D59" s="32"/>
      <c r="E59" s="2" t="str">
        <f>IF(E57="","",uitslagen!$B$49)</f>
        <v>DE</v>
      </c>
      <c r="F59" s="71"/>
      <c r="G59" s="71">
        <f>IF(E57="","",E57)</f>
        <v>6</v>
      </c>
      <c r="H59" s="490"/>
      <c r="I59" s="490"/>
      <c r="J59" s="490"/>
      <c r="K59" s="490"/>
      <c r="L59" s="490"/>
      <c r="M59" s="491">
        <v>3</v>
      </c>
      <c r="N59" s="492"/>
      <c r="O59" s="12">
        <v>1</v>
      </c>
      <c r="P59" s="12">
        <v>3</v>
      </c>
      <c r="Q59" s="12">
        <v>5</v>
      </c>
      <c r="R59" s="12">
        <v>4</v>
      </c>
      <c r="S59" s="468"/>
      <c r="T59" s="469"/>
      <c r="U59" s="61">
        <f>IF(V59="","",IF(COUNT(O59:T59)&lt;&gt;4,"X",""))</f>
      </c>
      <c r="V59" s="480">
        <v>18.77</v>
      </c>
      <c r="W59" s="481"/>
      <c r="X59" s="481"/>
      <c r="Y59" s="61">
        <f>IF($V59="","",IF($R$3&gt;$V59,"X",""))</f>
      </c>
      <c r="Z59" s="12" t="s">
        <v>2992</v>
      </c>
      <c r="AA59" s="11">
        <f>IF(G59="","",IF(OR(AND(V59="",Z59&lt;&gt;""),AND(V59&lt;&gt;"",Z59=""),AND(V59="w",Z59&lt;&gt;"w"),AND(V59="nt",Z59="w"),VLOOKUP($C$3&amp;"-"&amp;G59,'DE4'!$S$10:$AM$24,M59+16,FALSE)="x"),"x",""))</f>
      </c>
      <c r="AB59" s="61"/>
      <c r="AC59" s="61"/>
      <c r="AE59" s="62">
        <f>IF(AND(COUNT($V59)=1,OR($O59=1,$P59=1,$Q59=1,$R59=1,$S59=1,$T59=1)),INT($V59),"x")</f>
        <v>18</v>
      </c>
      <c r="AF59" s="63">
        <f>IF(AE59="x","",IF(AE59=SMALL($AE$22:$AE$76,1),AE59,""))</f>
        <v>18</v>
      </c>
      <c r="AG59" s="62" t="str">
        <f>IF(AND(COUNT($V59)=1,OR($O59=2,$P59=2,$Q59=2,$R59=2,$S59=2,$T59=2)),INT($V59),"x")</f>
        <v>x</v>
      </c>
      <c r="AH59" s="63">
        <f>IF(AG59="x","",IF(AG59=SMALL($AG$22:$AG$76,1),AG59,""))</f>
      </c>
      <c r="AI59" s="62">
        <f>IF(AND(COUNT($V59)=1,OR($O59=3,$P59=3,$Q59=3,$R59=3,$S59=3,$T59=3)),INT($V59),"x")</f>
        <v>18</v>
      </c>
      <c r="AJ59" s="63">
        <f>IF(AI59="x","",IF(AI59=SMALL($AI$22:$AI$76,1),AI59,""))</f>
        <v>18</v>
      </c>
      <c r="AK59" s="62">
        <f>IF(AND(COUNT($V59)=1,OR($O59=4,$P59=4,$Q59=4,$R59=4,$S59=4,$T59=4)),INT($V59),"x")</f>
        <v>18</v>
      </c>
      <c r="AL59" s="63">
        <f>IF(AK59="x","",IF(AK59=SMALL($AK$22:$AK$76,1),AK59,""))</f>
        <v>18</v>
      </c>
      <c r="AM59" s="62">
        <f>IF(AND(COUNT($V59)=1,OR($O59=5,$P59=5,$Q59=5,$R59=5,$S59=5,$T59=5)),INT($V59),"x")</f>
        <v>18</v>
      </c>
      <c r="AN59" s="63">
        <f>IF(AM59="x","",IF(AM59=SMALL($AM$22:$AM$76,1),AM59,""))</f>
        <v>18</v>
      </c>
      <c r="AO59" s="62" t="str">
        <f>IF(AND(COUNT($V59)=1,OR($O59=6,$P59=6,$Q59=6,$R59=6,$S59=6,$T59=6)),INT($V59),"x")</f>
        <v>x</v>
      </c>
      <c r="AP59" s="63">
        <f>IF(AO59="x","",IF(AO59=SMALL($AO$22:$AO$76,1),AO59,""))</f>
      </c>
      <c r="AQ59" s="64"/>
      <c r="AR59" s="32"/>
    </row>
    <row r="60" spans="1:44" ht="15" customHeight="1">
      <c r="A60" s="366"/>
      <c r="B60" s="32"/>
      <c r="C60" s="367"/>
      <c r="D60" s="32"/>
      <c r="E60" s="71">
        <f>IF(OR(COUNTIF(Z57:Z61,"w")=uitslagen!$H$49,MID(E57,1,1)="T"),2,IF(COUNTIF(Z57:Z61,"l")=uitslagen!$H$49,3,""))</f>
        <v>2</v>
      </c>
      <c r="G60" s="71">
        <f>IF(E57="","",E57)</f>
        <v>6</v>
      </c>
      <c r="H60" s="490"/>
      <c r="I60" s="490"/>
      <c r="J60" s="490"/>
      <c r="K60" s="490"/>
      <c r="L60" s="490"/>
      <c r="M60" s="491">
        <v>4</v>
      </c>
      <c r="N60" s="492"/>
      <c r="O60" s="12"/>
      <c r="P60" s="12"/>
      <c r="Q60" s="12"/>
      <c r="R60" s="12"/>
      <c r="S60" s="468"/>
      <c r="T60" s="469"/>
      <c r="U60" s="61">
        <f>IF(V60="","",IF(COUNT(O60:T60)&lt;&gt;4,"X",""))</f>
      </c>
      <c r="V60" s="480"/>
      <c r="W60" s="481"/>
      <c r="X60" s="481"/>
      <c r="Y60" s="61">
        <f>IF($V60="","",IF($R$3&gt;$V60,"X",""))</f>
      </c>
      <c r="Z60" s="12"/>
      <c r="AA60" s="11">
        <f>IF(G60="","",IF(OR(AND(V60="",Z60&lt;&gt;""),AND(V60&lt;&gt;"",Z60=""),AND(V60="w",Z60&lt;&gt;"w"),AND(V60="nt",Z60="w"),VLOOKUP($C$3&amp;"-"&amp;G60,'DE4'!$S$10:$AM$24,M60+16,FALSE)="x"),"x",""))</f>
      </c>
      <c r="AB60" s="61"/>
      <c r="AC60" s="61"/>
      <c r="AE60" s="62" t="str">
        <f>IF(AND(COUNT($V60)=1,OR($O60=1,$P60=1,$Q60=1,$R60=1,$S60=1,$T60=1)),INT($V60),"x")</f>
        <v>x</v>
      </c>
      <c r="AF60" s="63">
        <f>IF(AE60="x","",IF(AE60=SMALL($AE$22:$AE$76,1),AE60,""))</f>
      </c>
      <c r="AG60" s="62" t="str">
        <f>IF(AND(COUNT($V60)=1,OR($O60=2,$P60=2,$Q60=2,$R60=2,$S60=2,$T60=2)),INT($V60),"x")</f>
        <v>x</v>
      </c>
      <c r="AH60" s="63">
        <f>IF(AG60="x","",IF(AG60=SMALL($AG$22:$AG$76,1),AG60,""))</f>
      </c>
      <c r="AI60" s="62" t="str">
        <f>IF(AND(COUNT($V60)=1,OR($O60=3,$P60=3,$Q60=3,$R60=3,$S60=3,$T60=3)),INT($V60),"x")</f>
        <v>x</v>
      </c>
      <c r="AJ60" s="63">
        <f>IF(AI60="x","",IF(AI60=SMALL($AI$22:$AI$76,1),AI60,""))</f>
      </c>
      <c r="AK60" s="62" t="str">
        <f>IF(AND(COUNT($V60)=1,OR($O60=4,$P60=4,$Q60=4,$R60=4,$S60=4,$T60=4)),INT($V60),"x")</f>
        <v>x</v>
      </c>
      <c r="AL60" s="63">
        <f>IF(AK60="x","",IF(AK60=SMALL($AK$22:$AK$76,1),AK60,""))</f>
      </c>
      <c r="AM60" s="62" t="str">
        <f>IF(AND(COUNT($V60)=1,OR($O60=5,$P60=5,$Q60=5,$R60=5,$S60=5,$T60=5)),INT($V60),"x")</f>
        <v>x</v>
      </c>
      <c r="AN60" s="63">
        <f>IF(AM60="x","",IF(AM60=SMALL($AM$22:$AM$76,1),AM60,""))</f>
      </c>
      <c r="AO60" s="62" t="str">
        <f>IF(AND(COUNT($V60)=1,OR($O60=6,$P60=6,$Q60=6,$R60=6,$S60=6,$T60=6)),INT($V60),"x")</f>
        <v>x</v>
      </c>
      <c r="AP60" s="63">
        <f>IF(AO60="x","",IF(AO60=SMALL($AO$22:$AO$76,1),AO60,""))</f>
      </c>
      <c r="AQ60" s="64"/>
      <c r="AR60" s="32"/>
    </row>
    <row r="61" spans="1:44" ht="15" customHeight="1">
      <c r="A61" s="366"/>
      <c r="B61" s="32"/>
      <c r="C61" s="367"/>
      <c r="D61" s="32"/>
      <c r="E61" s="74" t="str">
        <f>IF(E57=6,"FINALE",IF(E57=7,"FINALE  Herkansing",""))</f>
        <v>FINALE</v>
      </c>
      <c r="G61" s="71">
        <f>IF(E57="","",E57)</f>
        <v>6</v>
      </c>
      <c r="H61" s="490"/>
      <c r="I61" s="490"/>
      <c r="J61" s="490"/>
      <c r="K61" s="490"/>
      <c r="L61" s="490"/>
      <c r="M61" s="491">
        <v>5</v>
      </c>
      <c r="N61" s="492"/>
      <c r="O61" s="12"/>
      <c r="P61" s="12"/>
      <c r="Q61" s="12"/>
      <c r="R61" s="12"/>
      <c r="S61" s="468"/>
      <c r="T61" s="469"/>
      <c r="U61" s="61">
        <f>IF(V61="","",IF(COUNT(O61:T61)&lt;&gt;4,"X",""))</f>
      </c>
      <c r="V61" s="480"/>
      <c r="W61" s="481"/>
      <c r="X61" s="481"/>
      <c r="Y61" s="61">
        <f>IF($V61="","",IF($R$3&gt;$V61,"X",""))</f>
      </c>
      <c r="Z61" s="12"/>
      <c r="AA61" s="11">
        <f>IF(G61="","",IF(OR(AND(V61="",Z61&lt;&gt;""),AND(V61&lt;&gt;"",Z61=""),AND(V61="w",Z61&lt;&gt;"w"),AND(V61="nt",Z61="w"),VLOOKUP($C$3&amp;"-"&amp;G61,'DE4'!$S$10:$AM$24,M61+16,FALSE)="x"),"x",""))</f>
      </c>
      <c r="AB61" s="61"/>
      <c r="AC61" s="61"/>
      <c r="AE61" s="65" t="str">
        <f>IF(AND(COUNT($V61)=1,OR($O61=1,$P61=1,$Q61=1,$R61=1,$S61=1,$T61=1)),INT($V61),"x")</f>
        <v>x</v>
      </c>
      <c r="AF61" s="66">
        <f>IF(AE61="x","",IF(AE61=SMALL($AE$22:$AE$76,1),AE61,""))</f>
      </c>
      <c r="AG61" s="65" t="str">
        <f>IF(AND(COUNT($V61)=1,OR($O61=2,$P61=2,$Q61=2,$R61=2,$S61=2,$T61=2)),INT($V61),"x")</f>
        <v>x</v>
      </c>
      <c r="AH61" s="63">
        <f>IF(AG61="x","",IF(AG61=SMALL($AG$22:$AG$76,1),AG61,""))</f>
      </c>
      <c r="AI61" s="65" t="str">
        <f>IF(AND(COUNT($V61)=1,OR($O61=3,$P61=3,$Q61=3,$R61=3,$S61=3,$T61=3)),INT($V61),"x")</f>
        <v>x</v>
      </c>
      <c r="AJ61" s="63">
        <f>IF(AI61="x","",IF(AI61=SMALL($AI$22:$AI$76,1),AI61,""))</f>
      </c>
      <c r="AK61" s="65" t="str">
        <f>IF(AND(COUNT($V61)=1,OR($O61=4,$P61=4,$Q61=4,$R61=4,$S61=4,$T61=4)),INT($V61),"x")</f>
        <v>x</v>
      </c>
      <c r="AL61" s="63">
        <f>IF(AK61="x","",IF(AK61=SMALL($AK$22:$AK$76,1),AK61,""))</f>
      </c>
      <c r="AM61" s="65" t="str">
        <f>IF(AND(COUNT($V61)=1,OR($O61=5,$P61=5,$Q61=5,$R61=5,$S61=5,$T61=5)),INT($V61),"x")</f>
        <v>x</v>
      </c>
      <c r="AN61" s="63">
        <f>IF(AM61="x","",IF(AM61=SMALL($AM$22:$AM$76,1),AM61,""))</f>
      </c>
      <c r="AO61" s="65" t="str">
        <f>IF(AND(COUNT($V61)=1,OR($O61=6,$P61=6,$Q61=6,$R61=6,$S61=6,$T61=6)),INT($V61),"x")</f>
        <v>x</v>
      </c>
      <c r="AP61" s="63">
        <f>IF(AO61="x","",IF(AO61=SMALL($AO$22:$AO$76,1),AO61,""))</f>
      </c>
      <c r="AQ61" s="64"/>
      <c r="AR61" s="32"/>
    </row>
    <row r="62" spans="1:42" ht="3.75" customHeight="1">
      <c r="A62" s="366"/>
      <c r="B62" s="32"/>
      <c r="C62" s="367"/>
      <c r="E62" s="67"/>
      <c r="F62" s="67"/>
      <c r="G62" s="73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87"/>
      <c r="W62" s="487"/>
      <c r="X62" s="487"/>
      <c r="Y62" s="67"/>
      <c r="Z62" s="76"/>
      <c r="AA62" s="68"/>
      <c r="AB62" s="61"/>
      <c r="AC62" s="61"/>
      <c r="AE62" s="69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1:44" ht="15" customHeight="1">
      <c r="A63" s="366"/>
      <c r="B63" s="32"/>
      <c r="C63" s="367"/>
      <c r="D63" s="32"/>
      <c r="E63" s="55" t="str">
        <f>VLOOKUP("race",'[1]Strings'!$A$3:$K$102,'[1]Strings'!$A$1,FALSE)</f>
        <v>Rennen</v>
      </c>
      <c r="F63" s="55" t="str">
        <f>VLOOKUP("baan / piste",'[1]Strings'!$A$3:$K$102,'[1]Strings'!$A$1,FALSE)</f>
        <v>Bahn</v>
      </c>
      <c r="G63" s="55"/>
      <c r="H63" s="476" t="str">
        <f>VLOOKUP("tegen / contre",'[1]Strings'!$A$3:$K$102,'[1]Strings'!$A$1,FALSE)</f>
        <v>gegen</v>
      </c>
      <c r="I63" s="476"/>
      <c r="J63" s="476"/>
      <c r="K63" s="476"/>
      <c r="L63" s="477"/>
      <c r="M63" s="477" t="str">
        <f>VLOOKUP("heat",'[1]Strings'!$A$3:$K$102,'[1]Strings'!$A$1,FALSE)</f>
        <v>Lauf</v>
      </c>
      <c r="N63" s="477"/>
      <c r="O63" s="476" t="str">
        <f>VLOOKUP("Honden / chiens",'[1]Strings'!$A$3:$K$102,'[1]Strings'!$A$1,FALSE)</f>
        <v>Hunde</v>
      </c>
      <c r="P63" s="476"/>
      <c r="Q63" s="476"/>
      <c r="R63" s="476"/>
      <c r="S63" s="476"/>
      <c r="T63" s="476"/>
      <c r="U63" s="162" t="str">
        <f>VLOOKUP("          Tijd/temps",'[1]Strings'!$A$3:$K$102,'[1]Strings'!$A$1,FALSE)</f>
        <v>           Zeit</v>
      </c>
      <c r="V63" s="163"/>
      <c r="W63" s="163"/>
      <c r="X63" s="163"/>
      <c r="Y63" s="161" t="str">
        <f>VLOOKUP("    W / L / T",'[1]Strings'!$A$3:$K$102,'[1]Strings'!$A$1,FALSE)</f>
        <v>    W/L/T</v>
      </c>
      <c r="Z63" s="55"/>
      <c r="AA63" s="68"/>
      <c r="AB63" s="61"/>
      <c r="AC63" s="61"/>
      <c r="AD63" s="55"/>
      <c r="AE63" s="70"/>
      <c r="AF63" s="67"/>
      <c r="AG63" s="70"/>
      <c r="AH63" s="67"/>
      <c r="AI63" s="70"/>
      <c r="AJ63" s="67"/>
      <c r="AK63" s="70"/>
      <c r="AL63" s="67"/>
      <c r="AM63" s="70"/>
      <c r="AN63" s="67"/>
      <c r="AO63" s="70"/>
      <c r="AP63" s="67"/>
      <c r="AQ63" s="565"/>
      <c r="AR63" s="478"/>
    </row>
    <row r="64" spans="1:44" ht="15" customHeight="1">
      <c r="A64" s="366"/>
      <c r="B64" s="32"/>
      <c r="C64" s="367"/>
      <c r="D64" s="32"/>
      <c r="E64" s="488">
        <f>IF(OR(E60="",E57=""),"",VLOOKUP(E50&amp;"-"&amp;E57,'DE4'!$AX$10:$AZ$25,E60,FALSE))</f>
      </c>
      <c r="F64" s="59">
        <f>IF(E64="","",IF(VLOOKUP($C$3&amp;"-"&amp;E64,'DE4'!$S$10:$AS$24,27,FALSE)="Rood",VLOOKUP("Rood / Rouge",'[1]Strings'!$A$3:$K$102,'[1]Strings'!$A$1,FALSE),""))</f>
      </c>
      <c r="G64" s="71">
        <f>IF(E64="","",E64)</f>
      </c>
      <c r="H64" s="478">
        <f>IF(E64="","",VLOOKUP($C$3&amp;"-"&amp;E64,'DE4'!$S$10:$AR$24,26,FALSE))</f>
      </c>
      <c r="I64" s="478"/>
      <c r="J64" s="478"/>
      <c r="K64" s="478"/>
      <c r="L64" s="479"/>
      <c r="M64" s="491">
        <v>1</v>
      </c>
      <c r="N64" s="492"/>
      <c r="O64" s="12"/>
      <c r="P64" s="12"/>
      <c r="Q64" s="12"/>
      <c r="R64" s="12"/>
      <c r="S64" s="468"/>
      <c r="T64" s="469"/>
      <c r="U64" s="61">
        <f>IF(V64="","",IF(COUNT(O64:T64)&lt;&gt;4,"X",""))</f>
      </c>
      <c r="V64" s="480"/>
      <c r="W64" s="481"/>
      <c r="X64" s="481"/>
      <c r="Y64" s="61">
        <f>IF($V64="","",IF($R$3&gt;$V64,"X",""))</f>
      </c>
      <c r="Z64" s="12"/>
      <c r="AA64" s="11">
        <f>IF(G64="","",IF(OR(AND(V64="",Z64&lt;&gt;""),AND(V64&lt;&gt;"",Z64=""),AND(V64="w",Z64&lt;&gt;"w"),AND(V64="nt",Z64="w"),VLOOKUP($C$3&amp;"-"&amp;G64,'DE4'!$S$10:$AM$24,M64+16,FALSE)="x"),"x",""))</f>
      </c>
      <c r="AB64" s="61"/>
      <c r="AC64" s="61"/>
      <c r="AE64" s="62" t="str">
        <f>IF(AND(COUNT($V64)=1,OR($O64=1,$P64=1,$Q64=1,$R64=1,$S64=1,$T64=1)),INT($V64),"x")</f>
        <v>x</v>
      </c>
      <c r="AF64" s="63">
        <f>IF(AE64="x","",IF(AE64=SMALL($AE$22:$AE$76,1),AE64,""))</f>
      </c>
      <c r="AG64" s="62" t="str">
        <f>IF(AND(COUNT($V64)=1,OR($O64=2,$P64=2,$Q64=2,$R64=2,$S64=2,$T64=2)),INT($V64),"x")</f>
        <v>x</v>
      </c>
      <c r="AH64" s="63">
        <f>IF(AG64="x","",IF(AG64=SMALL($AG$22:$AG$76,1),AG64,""))</f>
      </c>
      <c r="AI64" s="62" t="str">
        <f>IF(AND(COUNT($V64)=1,OR($O64=3,$P64=3,$Q64=3,$R64=3,$S64=3,$T64=3)),INT($V64),"x")</f>
        <v>x</v>
      </c>
      <c r="AJ64" s="63">
        <f>IF(AI64="x","",IF(AI64=SMALL($AI$22:$AI$76,1),AI64,""))</f>
      </c>
      <c r="AK64" s="62" t="str">
        <f>IF(AND(COUNT($V64)=1,OR($O64=4,$P64=4,$Q64=4,$R64=4,$S64=4,$T64=4)),INT($V64),"x")</f>
        <v>x</v>
      </c>
      <c r="AL64" s="63">
        <f>IF(AK64="x","",IF(AK64=SMALL($AK$22:$AK$76,1),AK64,""))</f>
      </c>
      <c r="AM64" s="62" t="str">
        <f>IF(AND(COUNT($V64)=1,OR($O64=5,$P64=5,$Q64=5,$R64=5,$S64=5,$T64=5)),INT($V64),"x")</f>
        <v>x</v>
      </c>
      <c r="AN64" s="63">
        <f>IF(AM64="x","",IF(AM64=SMALL($AM$22:$AM$76,1),AM64,""))</f>
      </c>
      <c r="AO64" s="62" t="str">
        <f>IF(AND(COUNT($V64)=1,OR($O64=6,$P64=6,$Q64=6,$R64=6,$S64=6,$T64=6)),INT($V64),"x")</f>
        <v>x</v>
      </c>
      <c r="AP64" s="63">
        <f>IF(AO64="x","",IF(AO64=SMALL($AO$22:$AO$76,1),AO64,""))</f>
      </c>
      <c r="AQ64" s="64"/>
      <c r="AR64" s="32"/>
    </row>
    <row r="65" spans="1:44" ht="15" customHeight="1">
      <c r="A65" s="366"/>
      <c r="B65" s="32"/>
      <c r="C65" s="367"/>
      <c r="D65" s="32"/>
      <c r="E65" s="489"/>
      <c r="F65" s="59">
        <f>IF(E64="","",IF(VLOOKUP($C$3&amp;"-"&amp;E64,'DE4'!$S$10:$AS$24,27,FALSE)="Blauw",VLOOKUP("Blauw / Bleu",'[1]Strings'!$A$3:$K$102,'[1]Strings'!$A$1,FALSE),""))</f>
      </c>
      <c r="G65" s="71">
        <f>IF(E64="","",E64)</f>
      </c>
      <c r="H65" s="490">
        <f>IF(OR(U64="x",Y64="x",AA64="x"),"CONTROLEER INVOER       HEAT 1",IF(OR(U65="x",Y65="x",AA65="x"),"CONTROLEER INVOER       HEAT 2",IF(OR(U66="x",Y66="x",AA66="x"),"CONTROLEER INVOER       HEAT 3",IF(OR(U67="x",Y67="x",AA67="x"),"CONTROLEER INVOER       HEAT 4",IF(OR(U68="x",Y68="x",AA68="x"),"CONTROLEER INVOER       HEAT 5","")))))</f>
      </c>
      <c r="I65" s="490"/>
      <c r="J65" s="490"/>
      <c r="K65" s="490"/>
      <c r="L65" s="490"/>
      <c r="M65" s="491">
        <v>2</v>
      </c>
      <c r="N65" s="492"/>
      <c r="O65" s="12"/>
      <c r="P65" s="12"/>
      <c r="Q65" s="12"/>
      <c r="R65" s="12"/>
      <c r="S65" s="468"/>
      <c r="T65" s="469"/>
      <c r="U65" s="61">
        <f>IF(V65="","",IF(COUNT(O65:T65)&lt;&gt;4,"X",""))</f>
      </c>
      <c r="V65" s="480"/>
      <c r="W65" s="481"/>
      <c r="X65" s="481"/>
      <c r="Y65" s="61">
        <f>IF($V65="","",IF($R$3&gt;$V65,"X",""))</f>
      </c>
      <c r="Z65" s="12"/>
      <c r="AA65" s="11">
        <f>IF(G65="","",IF(OR(AND(V65="",Z65&lt;&gt;""),AND(V65&lt;&gt;"",Z65=""),AND(V65="w",Z65&lt;&gt;"w"),AND(V65="nt",Z65="w"),VLOOKUP($C$3&amp;"-"&amp;G65,'DE4'!$S$10:$AM$24,M65+16,FALSE)="x"),"x",""))</f>
      </c>
      <c r="AB65" s="61"/>
      <c r="AC65" s="61"/>
      <c r="AE65" s="62" t="str">
        <f>IF(AND(COUNT($V65)=1,OR($O65=1,$P65=1,$Q65=1,$R65=1,$S65=1,$T65=1)),INT($V65),"x")</f>
        <v>x</v>
      </c>
      <c r="AF65" s="63">
        <f>IF(AE65="x","",IF(AE65=SMALL($AE$22:$AE$76,1),AE65,""))</f>
      </c>
      <c r="AG65" s="62" t="str">
        <f>IF(AND(COUNT($V65)=1,OR($O65=2,$P65=2,$Q65=2,$R65=2,$S65=2,$T65=2)),INT($V65),"x")</f>
        <v>x</v>
      </c>
      <c r="AH65" s="63">
        <f>IF(AG65="x","",IF(AG65=SMALL($AG$22:$AG$76,1),AG65,""))</f>
      </c>
      <c r="AI65" s="62" t="str">
        <f>IF(AND(COUNT($V65)=1,OR($O65=3,$P65=3,$Q65=3,$R65=3,$S65=3,$T65=3)),INT($V65),"x")</f>
        <v>x</v>
      </c>
      <c r="AJ65" s="63">
        <f>IF(AI65="x","",IF(AI65=SMALL($AI$22:$AI$76,1),AI65,""))</f>
      </c>
      <c r="AK65" s="62" t="str">
        <f>IF(AND(COUNT($V65)=1,OR($O65=4,$P65=4,$Q65=4,$R65=4,$S65=4,$T65=4)),INT($V65),"x")</f>
        <v>x</v>
      </c>
      <c r="AL65" s="63">
        <f>IF(AK65="x","",IF(AK65=SMALL($AK$22:$AK$76,1),AK65,""))</f>
      </c>
      <c r="AM65" s="62" t="str">
        <f>IF(AND(COUNT($V65)=1,OR($O65=5,$P65=5,$Q65=5,$R65=5,$S65=5,$T65=5)),INT($V65),"x")</f>
        <v>x</v>
      </c>
      <c r="AN65" s="63">
        <f>IF(AM65="x","",IF(AM65=SMALL($AM$22:$AM$76,1),AM65,""))</f>
      </c>
      <c r="AO65" s="62" t="str">
        <f>IF(AND(COUNT($V65)=1,OR($O65=6,$P65=6,$Q65=6,$R65=6,$S65=6,$T65=6)),INT($V65),"x")</f>
        <v>x</v>
      </c>
      <c r="AP65" s="63">
        <f>IF(AO65="x","",IF(AO65=SMALL($AO$22:$AO$76,1),AO65,""))</f>
      </c>
      <c r="AQ65" s="64"/>
      <c r="AR65" s="32"/>
    </row>
    <row r="66" spans="1:44" ht="15" customHeight="1">
      <c r="A66" s="366"/>
      <c r="B66" s="32"/>
      <c r="C66" s="367"/>
      <c r="D66" s="32"/>
      <c r="E66" s="2">
        <f>IF(E64="","",uitslagen!$B$49)</f>
      </c>
      <c r="F66" s="71"/>
      <c r="G66" s="71">
        <f>IF(E64="","",E64)</f>
      </c>
      <c r="H66" s="490"/>
      <c r="I66" s="490"/>
      <c r="J66" s="490"/>
      <c r="K66" s="490"/>
      <c r="L66" s="490"/>
      <c r="M66" s="491">
        <v>3</v>
      </c>
      <c r="N66" s="492"/>
      <c r="O66" s="12"/>
      <c r="P66" s="12"/>
      <c r="Q66" s="12"/>
      <c r="R66" s="12"/>
      <c r="S66" s="468"/>
      <c r="T66" s="469"/>
      <c r="U66" s="61">
        <f>IF(V66="","",IF(COUNT(O66:T66)&lt;&gt;4,"X",""))</f>
      </c>
      <c r="V66" s="480"/>
      <c r="W66" s="481"/>
      <c r="X66" s="481"/>
      <c r="Y66" s="61">
        <f>IF($V66="","",IF($R$3&gt;$V66,"X",""))</f>
      </c>
      <c r="Z66" s="12"/>
      <c r="AA66" s="11">
        <f>IF(G66="","",IF(OR(AND(V66="",Z66&lt;&gt;""),AND(V66&lt;&gt;"",Z66=""),AND(V66="w",Z66&lt;&gt;"w"),AND(V66="nt",Z66="w"),VLOOKUP($C$3&amp;"-"&amp;G66,'DE4'!$S$10:$AM$24,M66+16,FALSE)="x"),"x",""))</f>
      </c>
      <c r="AB66" s="61"/>
      <c r="AC66" s="61"/>
      <c r="AE66" s="62" t="str">
        <f>IF(AND(COUNT($V66)=1,OR($O66=1,$P66=1,$Q66=1,$R66=1,$S66=1,$T66=1)),INT($V66),"x")</f>
        <v>x</v>
      </c>
      <c r="AF66" s="63">
        <f>IF(AE66="x","",IF(AE66=SMALL($AE$22:$AE$76,1),AE66,""))</f>
      </c>
      <c r="AG66" s="62" t="str">
        <f>IF(AND(COUNT($V66)=1,OR($O66=2,$P66=2,$Q66=2,$R66=2,$S66=2,$T66=2)),INT($V66),"x")</f>
        <v>x</v>
      </c>
      <c r="AH66" s="63">
        <f>IF(AG66="x","",IF(AG66=SMALL($AG$22:$AG$76,1),AG66,""))</f>
      </c>
      <c r="AI66" s="62" t="str">
        <f>IF(AND(COUNT($V66)=1,OR($O66=3,$P66=3,$Q66=3,$R66=3,$S66=3,$T66=3)),INT($V66),"x")</f>
        <v>x</v>
      </c>
      <c r="AJ66" s="63">
        <f>IF(AI66="x","",IF(AI66=SMALL($AI$22:$AI$76,1),AI66,""))</f>
      </c>
      <c r="AK66" s="62" t="str">
        <f>IF(AND(COUNT($V66)=1,OR($O66=4,$P66=4,$Q66=4,$R66=4,$S66=4,$T66=4)),INT($V66),"x")</f>
        <v>x</v>
      </c>
      <c r="AL66" s="63">
        <f>IF(AK66="x","",IF(AK66=SMALL($AK$22:$AK$76,1),AK66,""))</f>
      </c>
      <c r="AM66" s="62" t="str">
        <f>IF(AND(COUNT($V66)=1,OR($O66=5,$P66=5,$Q66=5,$R66=5,$S66=5,$T66=5)),INT($V66),"x")</f>
        <v>x</v>
      </c>
      <c r="AN66" s="63">
        <f>IF(AM66="x","",IF(AM66=SMALL($AM$22:$AM$76,1),AM66,""))</f>
      </c>
      <c r="AO66" s="62" t="str">
        <f>IF(AND(COUNT($V66)=1,OR($O66=6,$P66=6,$Q66=6,$R66=6,$S66=6,$T66=6)),INT($V66),"x")</f>
        <v>x</v>
      </c>
      <c r="AP66" s="63">
        <f>IF(AO66="x","",IF(AO66=SMALL($AO$22:$AO$76,1),AO66,""))</f>
      </c>
      <c r="AQ66" s="64"/>
      <c r="AR66" s="32"/>
    </row>
    <row r="67" spans="1:44" ht="15" customHeight="1">
      <c r="A67" s="366"/>
      <c r="B67" s="32"/>
      <c r="C67" s="367"/>
      <c r="D67" s="32"/>
      <c r="E67" s="71">
        <f>IF(OR(COUNTIF(Z64:Z68,"w")=uitslagen!$H$49,MID(E64,1,1)="T"),2,IF(COUNTIF(Z64:Z68,"l")=uitslagen!$H$49,3,""))</f>
      </c>
      <c r="G67" s="71">
        <f>IF(E64="","",E64)</f>
      </c>
      <c r="H67" s="490"/>
      <c r="I67" s="490"/>
      <c r="J67" s="490"/>
      <c r="K67" s="490"/>
      <c r="L67" s="490"/>
      <c r="M67" s="491">
        <v>4</v>
      </c>
      <c r="N67" s="492"/>
      <c r="O67" s="12"/>
      <c r="P67" s="12"/>
      <c r="Q67" s="12"/>
      <c r="R67" s="12"/>
      <c r="S67" s="468"/>
      <c r="T67" s="469"/>
      <c r="U67" s="61">
        <f>IF(V67="","",IF(COUNT(O67:T67)&lt;&gt;4,"X",""))</f>
      </c>
      <c r="V67" s="480"/>
      <c r="W67" s="481"/>
      <c r="X67" s="481"/>
      <c r="Y67" s="61">
        <f>IF($V67="","",IF($R$3&gt;$V67,"X",""))</f>
      </c>
      <c r="Z67" s="12"/>
      <c r="AA67" s="11">
        <f>IF(G67="","",IF(OR(AND(V67="",Z67&lt;&gt;""),AND(V67&lt;&gt;"",Z67=""),AND(V67="w",Z67&lt;&gt;"w"),AND(V67="nt",Z67="w"),VLOOKUP($C$3&amp;"-"&amp;G67,'DE4'!$S$10:$AM$24,M67+16,FALSE)="x"),"x",""))</f>
      </c>
      <c r="AB67" s="61"/>
      <c r="AC67" s="61"/>
      <c r="AE67" s="62" t="str">
        <f>IF(AND(COUNT($V67)=1,OR($O67=1,$P67=1,$Q67=1,$R67=1,$S67=1,$T67=1)),INT($V67),"x")</f>
        <v>x</v>
      </c>
      <c r="AF67" s="63">
        <f>IF(AE67="x","",IF(AE67=SMALL($AE$22:$AE$76,1),AE67,""))</f>
      </c>
      <c r="AG67" s="62" t="str">
        <f>IF(AND(COUNT($V67)=1,OR($O67=2,$P67=2,$Q67=2,$R67=2,$S67=2,$T67=2)),INT($V67),"x")</f>
        <v>x</v>
      </c>
      <c r="AH67" s="63">
        <f>IF(AG67="x","",IF(AG67=SMALL($AG$22:$AG$76,1),AG67,""))</f>
      </c>
      <c r="AI67" s="62" t="str">
        <f>IF(AND(COUNT($V67)=1,OR($O67=3,$P67=3,$Q67=3,$R67=3,$S67=3,$T67=3)),INT($V67),"x")</f>
        <v>x</v>
      </c>
      <c r="AJ67" s="63">
        <f>IF(AI67="x","",IF(AI67=SMALL($AI$22:$AI$76,1),AI67,""))</f>
      </c>
      <c r="AK67" s="62" t="str">
        <f>IF(AND(COUNT($V67)=1,OR($O67=4,$P67=4,$Q67=4,$R67=4,$S67=4,$T67=4)),INT($V67),"x")</f>
        <v>x</v>
      </c>
      <c r="AL67" s="63">
        <f>IF(AK67="x","",IF(AK67=SMALL($AK$22:$AK$76,1),AK67,""))</f>
      </c>
      <c r="AM67" s="62" t="str">
        <f>IF(AND(COUNT($V67)=1,OR($O67=5,$P67=5,$Q67=5,$R67=5,$S67=5,$T67=5)),INT($V67),"x")</f>
        <v>x</v>
      </c>
      <c r="AN67" s="63">
        <f>IF(AM67="x","",IF(AM67=SMALL($AM$22:$AM$76,1),AM67,""))</f>
      </c>
      <c r="AO67" s="62" t="str">
        <f>IF(AND(COUNT($V67)=1,OR($O67=6,$P67=6,$Q67=6,$R67=6,$S67=6,$T67=6)),INT($V67),"x")</f>
        <v>x</v>
      </c>
      <c r="AP67" s="63">
        <f>IF(AO67="x","",IF(AO67=SMALL($AO$22:$AO$76,1),AO67,""))</f>
      </c>
      <c r="AQ67" s="64"/>
      <c r="AR67" s="32"/>
    </row>
    <row r="68" spans="1:44" ht="15" customHeight="1">
      <c r="A68" s="366"/>
      <c r="B68" s="32"/>
      <c r="C68" s="367"/>
      <c r="D68" s="32"/>
      <c r="E68" s="74">
        <f>IF(E64=6,"FINALE",IF(E64=7,"FINALE  Herkansing",""))</f>
      </c>
      <c r="G68" s="71">
        <f>IF(E64="","",E64)</f>
      </c>
      <c r="H68" s="490"/>
      <c r="I68" s="490"/>
      <c r="J68" s="490"/>
      <c r="K68" s="490"/>
      <c r="L68" s="490"/>
      <c r="M68" s="491">
        <v>5</v>
      </c>
      <c r="N68" s="492"/>
      <c r="O68" s="12"/>
      <c r="P68" s="12"/>
      <c r="Q68" s="12"/>
      <c r="R68" s="12"/>
      <c r="S68" s="468"/>
      <c r="T68" s="469"/>
      <c r="U68" s="61">
        <f>IF(V68="","",IF(COUNT(O68:T68)&lt;&gt;4,"X",""))</f>
      </c>
      <c r="V68" s="480"/>
      <c r="W68" s="481"/>
      <c r="X68" s="481"/>
      <c r="Y68" s="61">
        <f>IF($V68="","",IF($R$3&gt;$V68,"X",""))</f>
      </c>
      <c r="Z68" s="12"/>
      <c r="AA68" s="11">
        <f>IF(G68="","",IF(OR(AND(V68="",Z68&lt;&gt;""),AND(V68&lt;&gt;"",Z68=""),AND(V68="w",Z68&lt;&gt;"w"),AND(V68="nt",Z68="w"),VLOOKUP($C$3&amp;"-"&amp;G68,'DE4'!$S$10:$AM$24,M68+16,FALSE)="x"),"x",""))</f>
      </c>
      <c r="AB68" s="61"/>
      <c r="AC68" s="61"/>
      <c r="AE68" s="65" t="str">
        <f>IF(AND(COUNT($V68)=1,OR($O68=1,$P68=1,$Q68=1,$R68=1,$S68=1,$T68=1)),INT($V68),"x")</f>
        <v>x</v>
      </c>
      <c r="AF68" s="66">
        <f>IF(AE68="x","",IF(AE68=SMALL($AE$22:$AE$76,1),AE68,""))</f>
      </c>
      <c r="AG68" s="65" t="str">
        <f>IF(AND(COUNT($V68)=1,OR($O68=2,$P68=2,$Q68=2,$R68=2,$S68=2,$T68=2)),INT($V68),"x")</f>
        <v>x</v>
      </c>
      <c r="AH68" s="63">
        <f>IF(AG68="x","",IF(AG68=SMALL($AG$22:$AG$76,1),AG68,""))</f>
      </c>
      <c r="AI68" s="65" t="str">
        <f>IF(AND(COUNT($V68)=1,OR($O68=3,$P68=3,$Q68=3,$R68=3,$S68=3,$T68=3)),INT($V68),"x")</f>
        <v>x</v>
      </c>
      <c r="AJ68" s="63">
        <f>IF(AI68="x","",IF(AI68=SMALL($AI$22:$AI$76,1),AI68,""))</f>
      </c>
      <c r="AK68" s="65" t="str">
        <f>IF(AND(COUNT($V68)=1,OR($O68=4,$P68=4,$Q68=4,$R68=4,$S68=4,$T68=4)),INT($V68),"x")</f>
        <v>x</v>
      </c>
      <c r="AL68" s="63">
        <f>IF(AK68="x","",IF(AK68=SMALL($AK$22:$AK$76,1),AK68,""))</f>
      </c>
      <c r="AM68" s="65" t="str">
        <f>IF(AND(COUNT($V68)=1,OR($O68=5,$P68=5,$Q68=5,$R68=5,$S68=5,$T68=5)),INT($V68),"x")</f>
        <v>x</v>
      </c>
      <c r="AN68" s="63">
        <f>IF(AM68="x","",IF(AM68=SMALL($AM$22:$AM$76,1),AM68,""))</f>
      </c>
      <c r="AO68" s="65" t="str">
        <f>IF(AND(COUNT($V68)=1,OR($O68=6,$P68=6,$Q68=6,$R68=6,$S68=6,$T68=6)),INT($V68),"x")</f>
        <v>x</v>
      </c>
      <c r="AP68" s="63">
        <f>IF(AO68="x","",IF(AO68=SMALL($AO$22:$AO$76,1),AO68,""))</f>
      </c>
      <c r="AQ68" s="64"/>
      <c r="AR68" s="32"/>
    </row>
    <row r="69" spans="1:42" ht="3.75" customHeight="1">
      <c r="A69" s="366"/>
      <c r="B69" s="32"/>
      <c r="C69" s="367"/>
      <c r="E69" s="67"/>
      <c r="F69" s="67"/>
      <c r="G69" s="73"/>
      <c r="H69" s="67"/>
      <c r="I69" s="67"/>
      <c r="J69" s="67"/>
      <c r="K69" s="67"/>
      <c r="L69" s="67"/>
      <c r="M69" s="67"/>
      <c r="N69" s="67"/>
      <c r="O69" s="76"/>
      <c r="P69" s="76"/>
      <c r="Q69" s="76"/>
      <c r="R69" s="76"/>
      <c r="S69" s="76"/>
      <c r="T69" s="76"/>
      <c r="U69" s="67"/>
      <c r="V69" s="487"/>
      <c r="W69" s="487"/>
      <c r="X69" s="487"/>
      <c r="Y69" s="67"/>
      <c r="Z69" s="76"/>
      <c r="AA69" s="68"/>
      <c r="AB69" s="61"/>
      <c r="AC69" s="61"/>
      <c r="AE69" s="69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44" ht="15" customHeight="1">
      <c r="A70" s="366"/>
      <c r="B70" s="32"/>
      <c r="C70" s="367"/>
      <c r="D70" s="32"/>
      <c r="E70" s="55" t="str">
        <f>VLOOKUP("race",'[1]Strings'!$A$3:$K$102,'[1]Strings'!$A$1,FALSE)</f>
        <v>Rennen</v>
      </c>
      <c r="F70" s="55" t="str">
        <f>VLOOKUP("baan / piste",'[1]Strings'!$A$3:$K$102,'[1]Strings'!$A$1,FALSE)</f>
        <v>Bahn</v>
      </c>
      <c r="G70" s="55"/>
      <c r="H70" s="476" t="str">
        <f>VLOOKUP("tegen / contre",'[1]Strings'!$A$3:$K$102,'[1]Strings'!$A$1,FALSE)</f>
        <v>gegen</v>
      </c>
      <c r="I70" s="476"/>
      <c r="J70" s="476"/>
      <c r="K70" s="476"/>
      <c r="L70" s="477"/>
      <c r="M70" s="477" t="str">
        <f>VLOOKUP("heat",'[1]Strings'!$A$3:$K$102,'[1]Strings'!$A$1,FALSE)</f>
        <v>Lauf</v>
      </c>
      <c r="N70" s="477"/>
      <c r="O70" s="476" t="str">
        <f>VLOOKUP("Honden / chiens",'[1]Strings'!$A$3:$K$102,'[1]Strings'!$A$1,FALSE)</f>
        <v>Hunde</v>
      </c>
      <c r="P70" s="476"/>
      <c r="Q70" s="476"/>
      <c r="R70" s="476"/>
      <c r="S70" s="476"/>
      <c r="T70" s="476"/>
      <c r="U70" s="162" t="str">
        <f>VLOOKUP("          Tijd/temps",'[1]Strings'!$A$3:$K$102,'[1]Strings'!$A$1,FALSE)</f>
        <v>           Zeit</v>
      </c>
      <c r="V70" s="163"/>
      <c r="W70" s="163"/>
      <c r="X70" s="163"/>
      <c r="Y70" s="161" t="str">
        <f>VLOOKUP("    W / L / T",'[1]Strings'!$A$3:$K$102,'[1]Strings'!$A$1,FALSE)</f>
        <v>    W/L/T</v>
      </c>
      <c r="Z70" s="55"/>
      <c r="AA70" s="68"/>
      <c r="AB70" s="61"/>
      <c r="AC70" s="61"/>
      <c r="AD70" s="55"/>
      <c r="AE70" s="70"/>
      <c r="AF70" s="67"/>
      <c r="AG70" s="70"/>
      <c r="AH70" s="67"/>
      <c r="AI70" s="70"/>
      <c r="AJ70" s="67"/>
      <c r="AK70" s="70"/>
      <c r="AL70" s="67"/>
      <c r="AM70" s="70"/>
      <c r="AN70" s="67"/>
      <c r="AO70" s="70"/>
      <c r="AP70" s="67"/>
      <c r="AQ70" s="565"/>
      <c r="AR70" s="478"/>
    </row>
    <row r="71" spans="1:44" ht="15" customHeight="1">
      <c r="A71" s="366"/>
      <c r="B71" s="32"/>
      <c r="C71" s="367"/>
      <c r="D71" s="32"/>
      <c r="E71" s="488">
        <f>IF(OR(E67="",E64=""),"",VLOOKUP(E57&amp;"-"&amp;E64,'DE4'!$AX$10:$AZ$25,E67,FALSE))</f>
      </c>
      <c r="F71" s="59">
        <f>IF(E71="","",IF(VLOOKUP($C$3&amp;"-"&amp;E71,'DE4'!$S$10:$AS$24,27,FALSE)="Rood",VLOOKUP("Rood / Rouge",'[1]Strings'!$A$3:$K$102,'[1]Strings'!$A$1,FALSE),""))</f>
      </c>
      <c r="G71" s="71">
        <f>IF(E71="","",E71)</f>
      </c>
      <c r="H71" s="478">
        <f>IF(E71="","",VLOOKUP($C$3&amp;"-"&amp;E71,'DE4'!$S$10:$AR$24,26,FALSE))</f>
      </c>
      <c r="I71" s="478"/>
      <c r="J71" s="478"/>
      <c r="K71" s="478"/>
      <c r="L71" s="479"/>
      <c r="M71" s="491">
        <v>1</v>
      </c>
      <c r="N71" s="492"/>
      <c r="O71" s="12"/>
      <c r="P71" s="12"/>
      <c r="Q71" s="12"/>
      <c r="R71" s="12"/>
      <c r="S71" s="468"/>
      <c r="T71" s="469"/>
      <c r="U71" s="61">
        <f>IF(V71="","",IF(COUNT(O71:T71)&lt;&gt;4,"X",""))</f>
      </c>
      <c r="V71" s="480"/>
      <c r="W71" s="481"/>
      <c r="X71" s="481"/>
      <c r="Y71" s="61">
        <f>IF($V71="","",IF($R$3&gt;$V71,"X",""))</f>
      </c>
      <c r="Z71" s="12"/>
      <c r="AA71" s="11">
        <f>IF(G71="","",IF(OR(AND(V71="",Z71&lt;&gt;""),AND(V71&lt;&gt;"",Z71=""),AND(V71="w",Z71&lt;&gt;"w"),AND(V71="nt",Z71="w"),VLOOKUP($C$3&amp;"-"&amp;G71,'DE4'!$S$10:$AM$24,M71+16,FALSE)="x"),"x",""))</f>
      </c>
      <c r="AB71" s="61"/>
      <c r="AC71" s="61"/>
      <c r="AE71" s="62" t="str">
        <f>IF(AND(COUNT($V71)=1,OR($O71=1,$P71=1,$Q71=1,$R71=1,$S71=1,$T71=1)),INT($V71),"x")</f>
        <v>x</v>
      </c>
      <c r="AF71" s="63">
        <f>IF(AE71="x","",IF(AE71=SMALL($AE$22:$AE$76,1),AE71,""))</f>
      </c>
      <c r="AG71" s="62" t="str">
        <f>IF(AND(COUNT($V71)=1,OR($O71=2,$P71=2,$Q71=2,$R71=2,$S71=2,$T71=2)),INT($V71),"x")</f>
        <v>x</v>
      </c>
      <c r="AH71" s="63">
        <f>IF(AG71="x","",IF(AG71=SMALL($AG$22:$AG$76,1),AG71,""))</f>
      </c>
      <c r="AI71" s="62" t="str">
        <f>IF(AND(COUNT($V71)=1,OR($O71=3,$P71=3,$Q71=3,$R71=3,$S71=3,$T71=3)),INT($V71),"x")</f>
        <v>x</v>
      </c>
      <c r="AJ71" s="63">
        <f>IF(AI71="x","",IF(AI71=SMALL($AI$22:$AI$76,1),AI71,""))</f>
      </c>
      <c r="AK71" s="62" t="str">
        <f>IF(AND(COUNT($V71)=1,OR($O71=4,$P71=4,$Q71=4,$R71=4,$S71=4,$T71=4)),INT($V71),"x")</f>
        <v>x</v>
      </c>
      <c r="AL71" s="63">
        <f>IF(AK71="x","",IF(AK71=SMALL($AK$22:$AK$76,1),AK71,""))</f>
      </c>
      <c r="AM71" s="62" t="str">
        <f>IF(AND(COUNT($V71)=1,OR($O71=5,$P71=5,$Q71=5,$R71=5,$S71=5,$T71=5)),INT($V71),"x")</f>
        <v>x</v>
      </c>
      <c r="AN71" s="63">
        <f>IF(AM71="x","",IF(AM71=SMALL($AM$22:$AM$76,1),AM71,""))</f>
      </c>
      <c r="AO71" s="62" t="str">
        <f>IF(AND(COUNT($V71)=1,OR($O71=6,$P71=6,$Q71=6,$R71=6,$S71=6,$T71=6)),INT($V71),"x")</f>
        <v>x</v>
      </c>
      <c r="AP71" s="63">
        <f>IF(AO71="x","",IF(AO71=SMALL($AO$22:$AO$76,1),AO71,""))</f>
      </c>
      <c r="AQ71" s="64"/>
      <c r="AR71" s="32"/>
    </row>
    <row r="72" spans="1:44" ht="15" customHeight="1">
      <c r="A72" s="366"/>
      <c r="B72" s="32"/>
      <c r="C72" s="367"/>
      <c r="D72" s="32"/>
      <c r="E72" s="489"/>
      <c r="F72" s="59">
        <f>IF(E71="","",IF(VLOOKUP($C$3&amp;"-"&amp;E71,'DE4'!$S$10:$AS$24,27,FALSE)="Blauw",VLOOKUP("Blauw / Bleu",'[1]Strings'!$A$3:$K$102,'[1]Strings'!$A$1,FALSE),""))</f>
      </c>
      <c r="G72" s="71">
        <f>IF(E71="","",E71)</f>
      </c>
      <c r="H72" s="490">
        <f>IF(OR(U71="x",Y71="x",AA71="x"),"CONTROLEER INVOER       HEAT 1",IF(OR(U72="x",Y72="x",AA72="x"),"CONTROLEER INVOER       HEAT 2",IF(OR(U73="x",Y73="x",AA73="x"),"CONTROLEER INVOER       HEAT 3",IF(OR(U74="x",Y74="x",AA74="x"),"CONTROLEER INVOER       HEAT 4",IF(OR(U75="x",Y75="x",AA75="x"),"CONTROLEER INVOER       HEAT 5","")))))</f>
      </c>
      <c r="I72" s="490"/>
      <c r="J72" s="490"/>
      <c r="K72" s="490"/>
      <c r="L72" s="490"/>
      <c r="M72" s="491">
        <v>2</v>
      </c>
      <c r="N72" s="492"/>
      <c r="O72" s="12"/>
      <c r="P72" s="12"/>
      <c r="Q72" s="12"/>
      <c r="R72" s="12"/>
      <c r="S72" s="468"/>
      <c r="T72" s="469"/>
      <c r="U72" s="61">
        <f>IF(V72="","",IF(COUNT(O72:T72)&lt;&gt;4,"X",""))</f>
      </c>
      <c r="V72" s="480"/>
      <c r="W72" s="481"/>
      <c r="X72" s="481"/>
      <c r="Y72" s="61">
        <f>IF($V72="","",IF($R$3&gt;$V72,"X",""))</f>
      </c>
      <c r="Z72" s="12"/>
      <c r="AA72" s="11">
        <f>IF(G72="","",IF(OR(AND(V72="",Z72&lt;&gt;""),AND(V72&lt;&gt;"",Z72=""),AND(V72="w",Z72&lt;&gt;"w"),AND(V72="nt",Z72="w"),VLOOKUP($C$3&amp;"-"&amp;G72,'DE4'!$S$10:$AM$24,M72+16,FALSE)="x"),"x",""))</f>
      </c>
      <c r="AB72" s="61"/>
      <c r="AC72" s="61"/>
      <c r="AE72" s="62" t="str">
        <f>IF(AND(COUNT($V72)=1,OR($O72=1,$P72=1,$Q72=1,$R72=1,$S72=1,$T72=1)),INT($V72),"x")</f>
        <v>x</v>
      </c>
      <c r="AF72" s="63">
        <f>IF(AE72="x","",IF(AE72=SMALL($AE$22:$AE$76,1),AE72,""))</f>
      </c>
      <c r="AG72" s="62" t="str">
        <f>IF(AND(COUNT($V72)=1,OR($O72=2,$P72=2,$Q72=2,$R72=2,$S72=2,$T72=2)),INT($V72),"x")</f>
        <v>x</v>
      </c>
      <c r="AH72" s="63">
        <f>IF(AG72="x","",IF(AG72=SMALL($AG$22:$AG$76,1),AG72,""))</f>
      </c>
      <c r="AI72" s="62" t="str">
        <f>IF(AND(COUNT($V72)=1,OR($O72=3,$P72=3,$Q72=3,$R72=3,$S72=3,$T72=3)),INT($V72),"x")</f>
        <v>x</v>
      </c>
      <c r="AJ72" s="63">
        <f>IF(AI72="x","",IF(AI72=SMALL($AI$22:$AI$76,1),AI72,""))</f>
      </c>
      <c r="AK72" s="62" t="str">
        <f>IF(AND(COUNT($V72)=1,OR($O72=4,$P72=4,$Q72=4,$R72=4,$S72=4,$T72=4)),INT($V72),"x")</f>
        <v>x</v>
      </c>
      <c r="AL72" s="63">
        <f>IF(AK72="x","",IF(AK72=SMALL($AK$22:$AK$76,1),AK72,""))</f>
      </c>
      <c r="AM72" s="62" t="str">
        <f>IF(AND(COUNT($V72)=1,OR($O72=5,$P72=5,$Q72=5,$R72=5,$S72=5,$T72=5)),INT($V72),"x")</f>
        <v>x</v>
      </c>
      <c r="AN72" s="63">
        <f>IF(AM72="x","",IF(AM72=SMALL($AM$22:$AM$76,1),AM72,""))</f>
      </c>
      <c r="AO72" s="62" t="str">
        <f>IF(AND(COUNT($V72)=1,OR($O72=6,$P72=6,$Q72=6,$R72=6,$S72=6,$T72=6)),INT($V72),"x")</f>
        <v>x</v>
      </c>
      <c r="AP72" s="63">
        <f>IF(AO72="x","",IF(AO72=SMALL($AO$22:$AO$76,1),AO72,""))</f>
      </c>
      <c r="AQ72" s="64"/>
      <c r="AR72" s="32"/>
    </row>
    <row r="73" spans="1:44" ht="15" customHeight="1">
      <c r="A73" s="366"/>
      <c r="B73" s="32"/>
      <c r="C73" s="367"/>
      <c r="D73" s="32"/>
      <c r="E73" s="2">
        <f>IF(E71="","",uitslagen!$B$49)</f>
      </c>
      <c r="F73" s="71"/>
      <c r="G73" s="71">
        <f>IF(E71="","",E71)</f>
      </c>
      <c r="H73" s="490"/>
      <c r="I73" s="490"/>
      <c r="J73" s="490"/>
      <c r="K73" s="490"/>
      <c r="L73" s="490"/>
      <c r="M73" s="491">
        <v>3</v>
      </c>
      <c r="N73" s="492"/>
      <c r="O73" s="12"/>
      <c r="P73" s="12"/>
      <c r="Q73" s="12"/>
      <c r="R73" s="12"/>
      <c r="S73" s="468"/>
      <c r="T73" s="469"/>
      <c r="U73" s="61">
        <f>IF(V73="","",IF(COUNT(O73:T73)&lt;&gt;4,"X",""))</f>
      </c>
      <c r="V73" s="480"/>
      <c r="W73" s="481"/>
      <c r="X73" s="481"/>
      <c r="Y73" s="61">
        <f>IF($V73="","",IF($R$3&gt;$V73,"X",""))</f>
      </c>
      <c r="Z73" s="12"/>
      <c r="AA73" s="11">
        <f>IF(G73="","",IF(OR(AND(V73="",Z73&lt;&gt;""),AND(V73&lt;&gt;"",Z73=""),AND(V73="w",Z73&lt;&gt;"w"),AND(V73="nt",Z73="w"),VLOOKUP($C$3&amp;"-"&amp;G73,'DE4'!$S$10:$AM$24,M73+16,FALSE)="x"),"x",""))</f>
      </c>
      <c r="AB73" s="61"/>
      <c r="AC73" s="61"/>
      <c r="AE73" s="62" t="str">
        <f>IF(AND(COUNT($V73)=1,OR($O73=1,$P73=1,$Q73=1,$R73=1,$S73=1,$T73=1)),INT($V73),"x")</f>
        <v>x</v>
      </c>
      <c r="AF73" s="63">
        <f>IF(AE73="x","",IF(AE73=SMALL($AE$22:$AE$76,1),AE73,""))</f>
      </c>
      <c r="AG73" s="62" t="str">
        <f>IF(AND(COUNT($V73)=1,OR($O73=2,$P73=2,$Q73=2,$R73=2,$S73=2,$T73=2)),INT($V73),"x")</f>
        <v>x</v>
      </c>
      <c r="AH73" s="63">
        <f>IF(AG73="x","",IF(AG73=SMALL($AG$22:$AG$76,1),AG73,""))</f>
      </c>
      <c r="AI73" s="62" t="str">
        <f>IF(AND(COUNT($V73)=1,OR($O73=3,$P73=3,$Q73=3,$R73=3,$S73=3,$T73=3)),INT($V73),"x")</f>
        <v>x</v>
      </c>
      <c r="AJ73" s="63">
        <f>IF(AI73="x","",IF(AI73=SMALL($AI$22:$AI$76,1),AI73,""))</f>
      </c>
      <c r="AK73" s="62" t="str">
        <f>IF(AND(COUNT($V73)=1,OR($O73=4,$P73=4,$Q73=4,$R73=4,$S73=4,$T73=4)),INT($V73),"x")</f>
        <v>x</v>
      </c>
      <c r="AL73" s="63">
        <f>IF(AK73="x","",IF(AK73=SMALL($AK$22:$AK$76,1),AK73,""))</f>
      </c>
      <c r="AM73" s="62" t="str">
        <f>IF(AND(COUNT($V73)=1,OR($O73=5,$P73=5,$Q73=5,$R73=5,$S73=5,$T73=5)),INT($V73),"x")</f>
        <v>x</v>
      </c>
      <c r="AN73" s="63">
        <f>IF(AM73="x","",IF(AM73=SMALL($AM$22:$AM$76,1),AM73,""))</f>
      </c>
      <c r="AO73" s="62" t="str">
        <f>IF(AND(COUNT($V73)=1,OR($O73=6,$P73=6,$Q73=6,$R73=6,$S73=6,$T73=6)),INT($V73),"x")</f>
        <v>x</v>
      </c>
      <c r="AP73" s="63">
        <f>IF(AO73="x","",IF(AO73=SMALL($AO$22:$AO$76,1),AO73,""))</f>
      </c>
      <c r="AQ73" s="64"/>
      <c r="AR73" s="32"/>
    </row>
    <row r="74" spans="1:44" ht="15" customHeight="1">
      <c r="A74" s="366"/>
      <c r="B74" s="32"/>
      <c r="C74" s="367"/>
      <c r="D74" s="32"/>
      <c r="E74" s="71">
        <f>IF(OR(COUNTIF(Z71:Z75,"w")=uitslagen!$H$49,MID(E71,1,1)="T"),2,IF(COUNTIF(Z71:Z75,"l")=uitslagen!$H$49,3,""))</f>
      </c>
      <c r="G74" s="71">
        <f>IF(E71="","",E71)</f>
      </c>
      <c r="H74" s="490"/>
      <c r="I74" s="490"/>
      <c r="J74" s="490"/>
      <c r="K74" s="490"/>
      <c r="L74" s="490"/>
      <c r="M74" s="491">
        <v>4</v>
      </c>
      <c r="N74" s="492"/>
      <c r="O74" s="12"/>
      <c r="P74" s="12"/>
      <c r="Q74" s="12"/>
      <c r="R74" s="12"/>
      <c r="S74" s="468"/>
      <c r="T74" s="469"/>
      <c r="U74" s="61">
        <f>IF(V74="","",IF(COUNT(O74:T74)&lt;&gt;4,"X",""))</f>
      </c>
      <c r="V74" s="480"/>
      <c r="W74" s="481"/>
      <c r="X74" s="481"/>
      <c r="Y74" s="61">
        <f>IF($V74="","",IF($R$3&gt;$V74,"X",""))</f>
      </c>
      <c r="Z74" s="12"/>
      <c r="AA74" s="11">
        <f>IF(G74="","",IF(OR(AND(V74="",Z74&lt;&gt;""),AND(V74&lt;&gt;"",Z74=""),AND(V74="w",Z74&lt;&gt;"w"),AND(V74="nt",Z74="w"),VLOOKUP($C$3&amp;"-"&amp;G74,'DE4'!$S$10:$AM$24,M74+16,FALSE)="x"),"x",""))</f>
      </c>
      <c r="AB74" s="61"/>
      <c r="AC74" s="61"/>
      <c r="AE74" s="62" t="str">
        <f>IF(AND(COUNT($V74)=1,OR($O74=1,$P74=1,$Q74=1,$R74=1,$S74=1,$T74=1)),INT($V74),"x")</f>
        <v>x</v>
      </c>
      <c r="AF74" s="63">
        <f>IF(AE74="x","",IF(AE74=SMALL($AE$22:$AE$76,1),AE74,""))</f>
      </c>
      <c r="AG74" s="62" t="str">
        <f>IF(AND(COUNT($V74)=1,OR($O74=2,$P74=2,$Q74=2,$R74=2,$S74=2,$T74=2)),INT($V74),"x")</f>
        <v>x</v>
      </c>
      <c r="AH74" s="63">
        <f>IF(AG74="x","",IF(AG74=SMALL($AG$22:$AG$76,1),AG74,""))</f>
      </c>
      <c r="AI74" s="62" t="str">
        <f>IF(AND(COUNT($V74)=1,OR($O74=3,$P74=3,$Q74=3,$R74=3,$S74=3,$T74=3)),INT($V74),"x")</f>
        <v>x</v>
      </c>
      <c r="AJ74" s="63">
        <f>IF(AI74="x","",IF(AI74=SMALL($AI$22:$AI$76,1),AI74,""))</f>
      </c>
      <c r="AK74" s="62" t="str">
        <f>IF(AND(COUNT($V74)=1,OR($O74=4,$P74=4,$Q74=4,$R74=4,$S74=4,$T74=4)),INT($V74),"x")</f>
        <v>x</v>
      </c>
      <c r="AL74" s="63">
        <f>IF(AK74="x","",IF(AK74=SMALL($AK$22:$AK$76,1),AK74,""))</f>
      </c>
      <c r="AM74" s="62" t="str">
        <f>IF(AND(COUNT($V74)=1,OR($O74=5,$P74=5,$Q74=5,$R74=5,$S74=5,$T74=5)),INT($V74),"x")</f>
        <v>x</v>
      </c>
      <c r="AN74" s="63">
        <f>IF(AM74="x","",IF(AM74=SMALL($AM$22:$AM$76,1),AM74,""))</f>
      </c>
      <c r="AO74" s="62" t="str">
        <f>IF(AND(COUNT($V74)=1,OR($O74=6,$P74=6,$Q74=6,$R74=6,$S74=6,$T74=6)),INT($V74),"x")</f>
        <v>x</v>
      </c>
      <c r="AP74" s="63">
        <f>IF(AO74="x","",IF(AO74=SMALL($AO$22:$AO$76,1),AO74,""))</f>
      </c>
      <c r="AQ74" s="64"/>
      <c r="AR74" s="32"/>
    </row>
    <row r="75" spans="1:44" ht="15" customHeight="1">
      <c r="A75" s="366"/>
      <c r="B75" s="32"/>
      <c r="C75" s="367"/>
      <c r="D75" s="32"/>
      <c r="E75" s="74">
        <f>IF(E71=6,"FINALE",IF(E71=7,"FINALE  Herkansing",""))</f>
      </c>
      <c r="G75" s="71">
        <f>IF(E71="","",E71)</f>
      </c>
      <c r="H75" s="490"/>
      <c r="I75" s="490"/>
      <c r="J75" s="490"/>
      <c r="K75" s="490"/>
      <c r="L75" s="490"/>
      <c r="M75" s="491">
        <v>5</v>
      </c>
      <c r="N75" s="492"/>
      <c r="O75" s="12"/>
      <c r="P75" s="12"/>
      <c r="Q75" s="12"/>
      <c r="R75" s="12"/>
      <c r="S75" s="468"/>
      <c r="T75" s="469"/>
      <c r="U75" s="61">
        <f>IF(V75="","",IF(COUNT(O75:T75)&lt;&gt;4,"X",""))</f>
      </c>
      <c r="V75" s="480"/>
      <c r="W75" s="481"/>
      <c r="X75" s="481"/>
      <c r="Y75" s="61">
        <f>IF($V75="","",IF($R$3&gt;$V75,"X",""))</f>
      </c>
      <c r="Z75" s="12"/>
      <c r="AA75" s="11">
        <f>IF(G75="","",IF(OR(AND(V75="",Z75&lt;&gt;""),AND(V75&lt;&gt;"",Z75=""),AND(V75="w",Z75&lt;&gt;"w"),AND(V75="nt",Z75="w"),VLOOKUP($C$3&amp;"-"&amp;G75,'DE4'!$S$10:$AM$24,M75+16,FALSE)="x"),"x",""))</f>
      </c>
      <c r="AB75" s="61"/>
      <c r="AC75" s="61"/>
      <c r="AE75" s="65" t="str">
        <f>IF(AND(COUNT($V75)=1,OR($O75=1,$P75=1,$Q75=1,$R75=1,$S75=1,$T75=1)),INT($V75),"x")</f>
        <v>x</v>
      </c>
      <c r="AF75" s="66">
        <f>IF(AE75="x","",IF(AE75=SMALL($AE$22:$AE$76,1),AE75,""))</f>
      </c>
      <c r="AG75" s="65" t="str">
        <f>IF(AND(COUNT($V75)=1,OR($O75=2,$P75=2,$Q75=2,$R75=2,$S75=2,$T75=2)),INT($V75),"x")</f>
        <v>x</v>
      </c>
      <c r="AH75" s="63">
        <f>IF(AG75="x","",IF(AG75=SMALL($AG$22:$AG$76,1),AG75,""))</f>
      </c>
      <c r="AI75" s="65" t="str">
        <f>IF(AND(COUNT($V75)=1,OR($O75=3,$P75=3,$Q75=3,$R75=3,$S75=3,$T75=3)),INT($V75),"x")</f>
        <v>x</v>
      </c>
      <c r="AJ75" s="63">
        <f>IF(AI75="x","",IF(AI75=SMALL($AI$22:$AI$76,1),AI75,""))</f>
      </c>
      <c r="AK75" s="65" t="str">
        <f>IF(AND(COUNT($V75)=1,OR($O75=4,$P75=4,$Q75=4,$R75=4,$S75=4,$T75=4)),INT($V75),"x")</f>
        <v>x</v>
      </c>
      <c r="AL75" s="63">
        <f>IF(AK75="x","",IF(AK75=SMALL($AK$22:$AK$76,1),AK75,""))</f>
      </c>
      <c r="AM75" s="65" t="str">
        <f>IF(AND(COUNT($V75)=1,OR($O75=5,$P75=5,$Q75=5,$R75=5,$S75=5,$T75=5)),INT($V75),"x")</f>
        <v>x</v>
      </c>
      <c r="AN75" s="63">
        <f>IF(AM75="x","",IF(AM75=SMALL($AM$22:$AM$76,1),AM75,""))</f>
      </c>
      <c r="AO75" s="65" t="str">
        <f>IF(AND(COUNT($V75)=1,OR($O75=6,$P75=6,$Q75=6,$R75=6,$S75=6,$T75=6)),INT($V75),"x")</f>
        <v>x</v>
      </c>
      <c r="AP75" s="63">
        <f>IF(AO75="x","",IF(AO75=SMALL($AO$22:$AO$76,1),AO75,""))</f>
      </c>
      <c r="AQ75" s="64"/>
      <c r="AR75" s="32"/>
    </row>
    <row r="76" spans="1:42" ht="3.75" customHeight="1">
      <c r="A76" s="366"/>
      <c r="B76" s="32"/>
      <c r="C76" s="367"/>
      <c r="E76" s="67"/>
      <c r="F76" s="67"/>
      <c r="G76" s="73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487"/>
      <c r="W76" s="487"/>
      <c r="X76" s="487"/>
      <c r="Y76" s="67"/>
      <c r="Z76" s="76"/>
      <c r="AA76" s="68"/>
      <c r="AB76" s="61"/>
      <c r="AC76" s="61"/>
      <c r="AE76" s="69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1:26" ht="15" customHeight="1">
      <c r="A77" s="32"/>
      <c r="B77" s="32"/>
      <c r="C77" s="32"/>
      <c r="E77" s="568" t="str">
        <f>IF(COUNTIF(uitslagen!E106:E111,"")=6,"",IF(VLOOKUP($C$3,uitslagen!$E$106:$L$111,8,FALSE)=1,"1",VLOOKUP($C$3,uitslagen!$E$106:$L$111,8,FALSE)&amp;" "))</f>
        <v>1</v>
      </c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</row>
    <row r="78" spans="1:26" ht="15" customHeight="1">
      <c r="A78" s="32"/>
      <c r="B78" s="32"/>
      <c r="C78" s="32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</row>
    <row r="79" spans="1:3" ht="15" customHeight="1">
      <c r="A79" s="32"/>
      <c r="B79" s="32"/>
      <c r="C79" s="32"/>
    </row>
  </sheetData>
  <sheetProtection/>
  <mergeCells count="240">
    <mergeCell ref="E15:G15"/>
    <mergeCell ref="H15:I15"/>
    <mergeCell ref="L15:M15"/>
    <mergeCell ref="N15:V15"/>
    <mergeCell ref="E13:G13"/>
    <mergeCell ref="H13:I13"/>
    <mergeCell ref="L13:M13"/>
    <mergeCell ref="N13:V13"/>
    <mergeCell ref="B14:D14"/>
    <mergeCell ref="E14:G14"/>
    <mergeCell ref="H14:I14"/>
    <mergeCell ref="L14:M14"/>
    <mergeCell ref="N14:V14"/>
    <mergeCell ref="AQ21:AR21"/>
    <mergeCell ref="E19:G19"/>
    <mergeCell ref="H17:I17"/>
    <mergeCell ref="H18:I18"/>
    <mergeCell ref="H19:I19"/>
    <mergeCell ref="E22:E23"/>
    <mergeCell ref="H21:L21"/>
    <mergeCell ref="H22:L22"/>
    <mergeCell ref="V23:X23"/>
    <mergeCell ref="V22:X22"/>
    <mergeCell ref="V64:X64"/>
    <mergeCell ref="H49:L49"/>
    <mergeCell ref="H57:L57"/>
    <mergeCell ref="M56:N56"/>
    <mergeCell ref="M50:N50"/>
    <mergeCell ref="M65:N65"/>
    <mergeCell ref="Y7:Z7"/>
    <mergeCell ref="O7:P7"/>
    <mergeCell ref="Q7:R7"/>
    <mergeCell ref="S7:T7"/>
    <mergeCell ref="U7:V7"/>
    <mergeCell ref="W7:X7"/>
    <mergeCell ref="N16:V16"/>
    <mergeCell ref="N19:V19"/>
    <mergeCell ref="M57:N57"/>
    <mergeCell ref="H50:L50"/>
    <mergeCell ref="M53:N53"/>
    <mergeCell ref="L16:M16"/>
    <mergeCell ref="L17:M17"/>
    <mergeCell ref="L18:M18"/>
    <mergeCell ref="L19:M19"/>
    <mergeCell ref="N18:V18"/>
    <mergeCell ref="N17:V17"/>
    <mergeCell ref="H16:I16"/>
    <mergeCell ref="V24:X24"/>
    <mergeCell ref="E16:G16"/>
    <mergeCell ref="E17:G17"/>
    <mergeCell ref="E18:G18"/>
    <mergeCell ref="Y6:Z6"/>
    <mergeCell ref="E9:G9"/>
    <mergeCell ref="E10:G10"/>
    <mergeCell ref="E11:G11"/>
    <mergeCell ref="L9:M9"/>
    <mergeCell ref="L10:M10"/>
    <mergeCell ref="L11:M11"/>
    <mergeCell ref="H9:J9"/>
    <mergeCell ref="U6:V6"/>
    <mergeCell ref="W6:X6"/>
    <mergeCell ref="N9:V9"/>
    <mergeCell ref="E12:G12"/>
    <mergeCell ref="H10:J10"/>
    <mergeCell ref="H11:I11"/>
    <mergeCell ref="H12:I12"/>
    <mergeCell ref="N10:V10"/>
    <mergeCell ref="N11:V11"/>
    <mergeCell ref="V25:X25"/>
    <mergeCell ref="L6:N7"/>
    <mergeCell ref="M24:N24"/>
    <mergeCell ref="W9:Z9"/>
    <mergeCell ref="W10:Z10"/>
    <mergeCell ref="O6:P6"/>
    <mergeCell ref="Q6:R6"/>
    <mergeCell ref="S6:T6"/>
    <mergeCell ref="W8:Z8"/>
    <mergeCell ref="N12:V12"/>
    <mergeCell ref="M26:N26"/>
    <mergeCell ref="O21:T21"/>
    <mergeCell ref="M21:N21"/>
    <mergeCell ref="M22:N22"/>
    <mergeCell ref="M23:N23"/>
    <mergeCell ref="M25:N25"/>
    <mergeCell ref="L12:M12"/>
    <mergeCell ref="B18:D18"/>
    <mergeCell ref="B19:D19"/>
    <mergeCell ref="B9:D9"/>
    <mergeCell ref="B10:D10"/>
    <mergeCell ref="B11:D11"/>
    <mergeCell ref="B12:D12"/>
    <mergeCell ref="B16:D16"/>
    <mergeCell ref="B17:D17"/>
    <mergeCell ref="B13:D13"/>
    <mergeCell ref="B15:D15"/>
    <mergeCell ref="R3:V4"/>
    <mergeCell ref="A4:B4"/>
    <mergeCell ref="X1:Z1"/>
    <mergeCell ref="X2:Z4"/>
    <mergeCell ref="N3:Q3"/>
    <mergeCell ref="L1:N1"/>
    <mergeCell ref="O1:V1"/>
    <mergeCell ref="L4:M4"/>
    <mergeCell ref="L3:M3"/>
    <mergeCell ref="E7:J7"/>
    <mergeCell ref="A6:D6"/>
    <mergeCell ref="A7:D7"/>
    <mergeCell ref="C3:K4"/>
    <mergeCell ref="A3:B3"/>
    <mergeCell ref="N4:Q4"/>
    <mergeCell ref="H29:L29"/>
    <mergeCell ref="M29:N29"/>
    <mergeCell ref="M28:N28"/>
    <mergeCell ref="M31:N31"/>
    <mergeCell ref="M32:N32"/>
    <mergeCell ref="A1:C1"/>
    <mergeCell ref="D1:K1"/>
    <mergeCell ref="H23:L26"/>
    <mergeCell ref="H28:L28"/>
    <mergeCell ref="E6:J6"/>
    <mergeCell ref="M68:N68"/>
    <mergeCell ref="O70:T70"/>
    <mergeCell ref="H63:L63"/>
    <mergeCell ref="H70:L70"/>
    <mergeCell ref="H71:L71"/>
    <mergeCell ref="H65:L68"/>
    <mergeCell ref="M64:N64"/>
    <mergeCell ref="O63:T63"/>
    <mergeCell ref="M66:N66"/>
    <mergeCell ref="M70:N70"/>
    <mergeCell ref="O56:T56"/>
    <mergeCell ref="M45:N45"/>
    <mergeCell ref="M46:N46"/>
    <mergeCell ref="M54:N54"/>
    <mergeCell ref="V62:X62"/>
    <mergeCell ref="V58:X58"/>
    <mergeCell ref="V46:X46"/>
    <mergeCell ref="M49:N49"/>
    <mergeCell ref="V30:X30"/>
    <mergeCell ref="V31:X31"/>
    <mergeCell ref="V32:X32"/>
    <mergeCell ref="V40:X40"/>
    <mergeCell ref="O28:T28"/>
    <mergeCell ref="M42:N42"/>
    <mergeCell ref="M40:N40"/>
    <mergeCell ref="M35:N35"/>
    <mergeCell ref="M37:N37"/>
    <mergeCell ref="M38:N38"/>
    <mergeCell ref="M43:N43"/>
    <mergeCell ref="V45:X45"/>
    <mergeCell ref="V26:X26"/>
    <mergeCell ref="O42:T42"/>
    <mergeCell ref="V37:X37"/>
    <mergeCell ref="V38:X38"/>
    <mergeCell ref="V27:X27"/>
    <mergeCell ref="O35:T35"/>
    <mergeCell ref="V39:X39"/>
    <mergeCell ref="M39:N39"/>
    <mergeCell ref="AQ35:AR35"/>
    <mergeCell ref="H35:L35"/>
    <mergeCell ref="AQ28:AR28"/>
    <mergeCell ref="E29:E30"/>
    <mergeCell ref="H30:L33"/>
    <mergeCell ref="V29:X29"/>
    <mergeCell ref="V33:X33"/>
    <mergeCell ref="V34:X34"/>
    <mergeCell ref="M33:N33"/>
    <mergeCell ref="M30:N30"/>
    <mergeCell ref="E43:E44"/>
    <mergeCell ref="H44:L47"/>
    <mergeCell ref="E36:E37"/>
    <mergeCell ref="H37:L40"/>
    <mergeCell ref="H36:L36"/>
    <mergeCell ref="H43:L43"/>
    <mergeCell ref="H42:L42"/>
    <mergeCell ref="M44:N44"/>
    <mergeCell ref="M47:N47"/>
    <mergeCell ref="V52:X52"/>
    <mergeCell ref="V51:X51"/>
    <mergeCell ref="M52:N52"/>
    <mergeCell ref="M51:N51"/>
    <mergeCell ref="O49:T49"/>
    <mergeCell ref="V75:X75"/>
    <mergeCell ref="M63:N63"/>
    <mergeCell ref="M58:N58"/>
    <mergeCell ref="M59:N59"/>
    <mergeCell ref="V74:X74"/>
    <mergeCell ref="V71:X71"/>
    <mergeCell ref="V69:X69"/>
    <mergeCell ref="M67:N67"/>
    <mergeCell ref="V67:X67"/>
    <mergeCell ref="V68:X68"/>
    <mergeCell ref="E57:E58"/>
    <mergeCell ref="H58:L61"/>
    <mergeCell ref="M60:N60"/>
    <mergeCell ref="V60:X60"/>
    <mergeCell ref="M61:N61"/>
    <mergeCell ref="V61:X61"/>
    <mergeCell ref="V59:X59"/>
    <mergeCell ref="V57:X57"/>
    <mergeCell ref="E71:E72"/>
    <mergeCell ref="H72:L75"/>
    <mergeCell ref="M72:N72"/>
    <mergeCell ref="M74:N74"/>
    <mergeCell ref="V72:X72"/>
    <mergeCell ref="E77:Z78"/>
    <mergeCell ref="M75:N75"/>
    <mergeCell ref="M73:N73"/>
    <mergeCell ref="V73:X73"/>
    <mergeCell ref="V76:X76"/>
    <mergeCell ref="AM19:AN19"/>
    <mergeCell ref="V48:X48"/>
    <mergeCell ref="V36:X36"/>
    <mergeCell ref="M36:N36"/>
    <mergeCell ref="E64:E65"/>
    <mergeCell ref="H64:L64"/>
    <mergeCell ref="E50:E51"/>
    <mergeCell ref="H51:L54"/>
    <mergeCell ref="H56:L56"/>
    <mergeCell ref="V55:X55"/>
    <mergeCell ref="AQ70:AR70"/>
    <mergeCell ref="AQ63:AR63"/>
    <mergeCell ref="V66:X66"/>
    <mergeCell ref="V65:X65"/>
    <mergeCell ref="M71:N71"/>
    <mergeCell ref="AO19:AP19"/>
    <mergeCell ref="AE19:AF19"/>
    <mergeCell ref="AG19:AH19"/>
    <mergeCell ref="AI19:AJ19"/>
    <mergeCell ref="AK19:AL19"/>
    <mergeCell ref="AQ56:AR56"/>
    <mergeCell ref="AQ49:AR49"/>
    <mergeCell ref="AQ42:AR42"/>
    <mergeCell ref="V41:X41"/>
    <mergeCell ref="V50:X50"/>
    <mergeCell ref="V43:X43"/>
    <mergeCell ref="V44:X44"/>
    <mergeCell ref="V53:X53"/>
    <mergeCell ref="V47:X47"/>
    <mergeCell ref="V54:X54"/>
  </mergeCells>
  <conditionalFormatting sqref="F71:F72 F22:F23 F29:F30 F43:F44 F50:F51 F57:F58 F64:F65 F36:F37">
    <cfRule type="cellIs" priority="7" dxfId="14" operator="between" stopIfTrue="1">
      <formula>"B"</formula>
      <formula>"C"</formula>
    </cfRule>
    <cfRule type="cellIs" priority="8" dxfId="13" operator="between" stopIfTrue="1">
      <formula>"R"</formula>
      <formula>"S"</formula>
    </cfRule>
  </conditionalFormatting>
  <conditionalFormatting sqref="AS10">
    <cfRule type="cellIs" priority="9" dxfId="3" operator="greaterThan" stopIfTrue="1">
      <formula>99</formula>
    </cfRule>
  </conditionalFormatting>
  <conditionalFormatting sqref="AS11:AS12 AS16:AS19">
    <cfRule type="cellIs" priority="10" dxfId="3" operator="greaterThan" stopIfTrue="1">
      <formula>20</formula>
    </cfRule>
  </conditionalFormatting>
  <conditionalFormatting sqref="E22:E23 E29:E30 E36:E37 E43:E44 E50:E51 E57:E58 E64:E65 E71:E72">
    <cfRule type="expression" priority="11" dxfId="1" stopIfTrue="1">
      <formula>F23&gt;="B"</formula>
    </cfRule>
    <cfRule type="expression" priority="12" dxfId="0" stopIfTrue="1">
      <formula>F22&gt;="R"</formula>
    </cfRule>
  </conditionalFormatting>
  <conditionalFormatting sqref="X1:Z12 W1:W2 W5:W12 A1:V12 A19:J19 B16:J18 A13:A18 L16:Z19 K13:K19">
    <cfRule type="expression" priority="13" dxfId="2" stopIfTrue="1">
      <formula>$W$3&gt;2</formula>
    </cfRule>
  </conditionalFormatting>
  <conditionalFormatting sqref="AS13">
    <cfRule type="cellIs" priority="5" dxfId="3" operator="greaterThan" stopIfTrue="1">
      <formula>20</formula>
    </cfRule>
  </conditionalFormatting>
  <conditionalFormatting sqref="B13:J13 L13:Z13">
    <cfRule type="expression" priority="6" dxfId="2" stopIfTrue="1">
      <formula>$W$3&gt;2</formula>
    </cfRule>
  </conditionalFormatting>
  <conditionalFormatting sqref="AS14">
    <cfRule type="cellIs" priority="3" dxfId="3" operator="greaterThan" stopIfTrue="1">
      <formula>20</formula>
    </cfRule>
  </conditionalFormatting>
  <conditionalFormatting sqref="B14:J14 L14:Z14">
    <cfRule type="expression" priority="4" dxfId="2" stopIfTrue="1">
      <formula>$W$3&gt;2</formula>
    </cfRule>
  </conditionalFormatting>
  <conditionalFormatting sqref="AS15">
    <cfRule type="cellIs" priority="1" dxfId="3" operator="greaterThan" stopIfTrue="1">
      <formula>20</formula>
    </cfRule>
  </conditionalFormatting>
  <conditionalFormatting sqref="B15:J15 L15:Z15">
    <cfRule type="expression" priority="2" dxfId="2" stopIfTrue="1">
      <formula>$W$3&gt;2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78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W79"/>
  <sheetViews>
    <sheetView showGridLines="0" showZeros="0" zoomScalePageLayoutView="0" workbookViewId="0" topLeftCell="A1">
      <pane ySplit="19" topLeftCell="A49" activePane="bottomLeft" state="frozen"/>
      <selection pane="topLeft" activeCell="AR4" sqref="AR4"/>
      <selection pane="bottomLeft" activeCell="O7" sqref="O7:P7"/>
    </sheetView>
  </sheetViews>
  <sheetFormatPr defaultColWidth="9.140625" defaultRowHeight="15" customHeight="1"/>
  <cols>
    <col min="1" max="1" width="3.28125" style="28" customWidth="1"/>
    <col min="2" max="2" width="4.7109375" style="28" customWidth="1"/>
    <col min="3" max="3" width="12.7109375" style="28" customWidth="1"/>
    <col min="4" max="4" width="1.28515625" style="28" customWidth="1"/>
    <col min="5" max="6" width="11.7109375" style="28" customWidth="1"/>
    <col min="7" max="7" width="2.00390625" style="28" customWidth="1"/>
    <col min="8" max="9" width="3.28125" style="28" customWidth="1"/>
    <col min="10" max="10" width="3.00390625" style="28" customWidth="1"/>
    <col min="11" max="11" width="7.140625" style="28" customWidth="1"/>
    <col min="12" max="12" width="5.7109375" style="28" customWidth="1"/>
    <col min="13" max="26" width="3.28125" style="28" customWidth="1"/>
    <col min="27" max="27" width="2.7109375" style="27" customWidth="1"/>
    <col min="28" max="29" width="3.28125" style="28" hidden="1" customWidth="1"/>
    <col min="30" max="30" width="44.8515625" style="28" hidden="1" customWidth="1"/>
    <col min="31" max="31" width="2.7109375" style="29" hidden="1" customWidth="1"/>
    <col min="32" max="42" width="2.7109375" style="28" hidden="1" customWidth="1"/>
    <col min="43" max="43" width="3.28125" style="28" hidden="1" customWidth="1"/>
    <col min="44" max="44" width="17.00390625" style="28" customWidth="1"/>
    <col min="45" max="45" width="7.7109375" style="28" customWidth="1"/>
    <col min="46" max="46" width="9.140625" style="28" customWidth="1"/>
    <col min="47" max="47" width="17.8515625" style="28" bestFit="1" customWidth="1"/>
    <col min="48" max="49" width="9.8515625" style="28" bestFit="1" customWidth="1"/>
    <col min="50" max="16384" width="9.140625" style="28" customWidth="1"/>
  </cols>
  <sheetData>
    <row r="1" spans="1:31" s="15" customFormat="1" ht="15" customHeight="1">
      <c r="A1" s="549" t="str">
        <f>VLOOKUP("toernooi / tournoi :",'[1]Strings'!A3:K102,'[1]Strings'!A1,FALSE)</f>
        <v>Turnier :</v>
      </c>
      <c r="B1" s="550"/>
      <c r="C1" s="550"/>
      <c r="D1" s="551" t="str">
        <f>'BayernXpress I'!$D$1</f>
        <v>5. Vaterstettener Flyballturnier</v>
      </c>
      <c r="E1" s="551"/>
      <c r="F1" s="551"/>
      <c r="G1" s="551"/>
      <c r="H1" s="551"/>
      <c r="I1" s="551"/>
      <c r="J1" s="551"/>
      <c r="K1" s="551"/>
      <c r="L1" s="540" t="str">
        <f>VLOOKUP("Datum / Date :",'[1]Strings'!A3:K102,'[1]Strings'!A1,FALSE)</f>
        <v>Datum:</v>
      </c>
      <c r="M1" s="541"/>
      <c r="N1" s="541"/>
      <c r="O1" s="542" t="str">
        <f>'BayernXpress I'!$O$1</f>
        <v>05.13.2017</v>
      </c>
      <c r="P1" s="543"/>
      <c r="Q1" s="543"/>
      <c r="R1" s="543"/>
      <c r="S1" s="543"/>
      <c r="T1" s="543"/>
      <c r="U1" s="543"/>
      <c r="V1" s="544"/>
      <c r="W1" s="34" t="str">
        <f>VLOOKUP("BO",'[1]Strings'!A3:K102,'[1]Strings'!A1,FALSE)</f>
        <v>BO </v>
      </c>
      <c r="X1" s="531" t="str">
        <f>VLOOKUP("div",'[1]Strings'!A3:K102,'[1]Strings'!A1,FALSE)</f>
        <v>Division </v>
      </c>
      <c r="Y1" s="532"/>
      <c r="Z1" s="533"/>
      <c r="AA1" s="14"/>
      <c r="AE1" s="16"/>
    </row>
    <row r="2" spans="12:31" s="17" customFormat="1" ht="3.75" customHeight="1"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534">
        <f>'BayernXpress I'!$X$2</f>
        <v>1</v>
      </c>
      <c r="Y2" s="535"/>
      <c r="Z2" s="536"/>
      <c r="AA2" s="19"/>
      <c r="AE2" s="20"/>
    </row>
    <row r="3" spans="1:31" s="17" customFormat="1" ht="12" customHeight="1">
      <c r="A3" s="525" t="str">
        <f>VLOOKUP("Team :",'[1]Strings'!A3:K102,'[1]Strings'!A1,FALSE)</f>
        <v>Team:</v>
      </c>
      <c r="B3" s="526"/>
      <c r="C3" s="561" t="s">
        <v>235</v>
      </c>
      <c r="D3" s="561"/>
      <c r="E3" s="562"/>
      <c r="F3" s="562"/>
      <c r="G3" s="562"/>
      <c r="H3" s="562"/>
      <c r="I3" s="562"/>
      <c r="J3" s="562"/>
      <c r="K3" s="562"/>
      <c r="L3" s="547" t="str">
        <f>VLOOKUP("B.F.B. nr",'[1]Strings'!A3:K102,'[1]Strings'!A1,FALSE)</f>
        <v>Team Nr.</v>
      </c>
      <c r="M3" s="548"/>
      <c r="N3" s="539" t="str">
        <f>VLOOKUP("uitbreektijd :",'[1]Strings'!A3:K102,'[1]Strings'!A1,FALSE)</f>
        <v>Break Out Zeit</v>
      </c>
      <c r="O3" s="539"/>
      <c r="P3" s="539"/>
      <c r="Q3" s="539"/>
      <c r="R3" s="528">
        <f>'BayernXpress I'!R3</f>
        <v>16.54</v>
      </c>
      <c r="S3" s="528"/>
      <c r="T3" s="528"/>
      <c r="U3" s="528"/>
      <c r="V3" s="528"/>
      <c r="W3" s="12">
        <f>COUNTIF(V:V,"bo")</f>
        <v>0</v>
      </c>
      <c r="X3" s="535"/>
      <c r="Y3" s="535"/>
      <c r="Z3" s="536"/>
      <c r="AA3" s="14"/>
      <c r="AB3" s="15"/>
      <c r="AC3" s="15"/>
      <c r="AD3" s="15"/>
      <c r="AE3" s="16"/>
    </row>
    <row r="4" spans="1:31" s="17" customFormat="1" ht="12" customHeight="1">
      <c r="A4" s="530">
        <f>VLOOKUP("Equipe :",'[1]Strings'!A3:K102,'[1]Strings'!A1,FALSE)</f>
        <v>0</v>
      </c>
      <c r="B4" s="527"/>
      <c r="C4" s="563"/>
      <c r="D4" s="563"/>
      <c r="E4" s="563"/>
      <c r="F4" s="563"/>
      <c r="G4" s="563"/>
      <c r="H4" s="563"/>
      <c r="I4" s="563"/>
      <c r="J4" s="563"/>
      <c r="K4" s="563"/>
      <c r="L4" s="545">
        <v>52</v>
      </c>
      <c r="M4" s="546"/>
      <c r="N4" s="527">
        <f>VLOOKUP("temps limite :",'[1]Strings'!A3:K102,'[1]Strings'!A1,FALSE)</f>
        <v>0</v>
      </c>
      <c r="O4" s="527"/>
      <c r="P4" s="527"/>
      <c r="Q4" s="527"/>
      <c r="R4" s="529"/>
      <c r="S4" s="529"/>
      <c r="T4" s="529"/>
      <c r="U4" s="529"/>
      <c r="V4" s="529"/>
      <c r="W4" s="12">
        <f>COUNTIF(V:V,"int")</f>
        <v>0</v>
      </c>
      <c r="X4" s="537"/>
      <c r="Y4" s="537"/>
      <c r="Z4" s="538"/>
      <c r="AA4" s="14"/>
      <c r="AB4" s="15"/>
      <c r="AC4" s="15"/>
      <c r="AD4" s="15"/>
      <c r="AE4" s="16"/>
    </row>
    <row r="5" spans="12:31" s="17" customFormat="1" ht="3.75" customHeight="1" thickBot="1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E5" s="20"/>
    </row>
    <row r="6" spans="1:31" s="25" customFormat="1" ht="15" customHeight="1">
      <c r="A6" s="540" t="str">
        <f>VLOOKUP("Kapitein  /  Capitaine :",'[1]Strings'!A3:K102,'[1]Strings'!A1,FALSE)</f>
        <v>Kapitän :</v>
      </c>
      <c r="B6" s="556"/>
      <c r="C6" s="556"/>
      <c r="D6" s="557"/>
      <c r="E6" s="552" t="s">
        <v>236</v>
      </c>
      <c r="F6" s="552"/>
      <c r="G6" s="552"/>
      <c r="H6" s="552"/>
      <c r="I6" s="552"/>
      <c r="J6" s="553"/>
      <c r="K6" s="21"/>
      <c r="L6" s="510" t="str">
        <f>VLOOKUP("Beste Tijden",'[1]Strings'!A3:K102,'[1]Strings'!A1,FALSE)</f>
        <v>Beste Zeiten</v>
      </c>
      <c r="M6" s="511"/>
      <c r="N6" s="511"/>
      <c r="O6" s="496">
        <v>1</v>
      </c>
      <c r="P6" s="496"/>
      <c r="Q6" s="496">
        <v>2</v>
      </c>
      <c r="R6" s="496"/>
      <c r="S6" s="496">
        <v>3</v>
      </c>
      <c r="T6" s="496"/>
      <c r="U6" s="496">
        <v>4</v>
      </c>
      <c r="V6" s="496"/>
      <c r="W6" s="496">
        <v>5</v>
      </c>
      <c r="X6" s="496"/>
      <c r="Y6" s="496">
        <v>6</v>
      </c>
      <c r="Z6" s="497"/>
      <c r="AA6" s="22"/>
      <c r="AB6" s="23"/>
      <c r="AC6" s="23"/>
      <c r="AD6" s="23"/>
      <c r="AE6" s="24"/>
    </row>
    <row r="7" spans="1:26" ht="15" customHeight="1" thickBot="1">
      <c r="A7" s="558" t="str">
        <f>VLOOKUP("Ballader / Préposé au flybox :",'[1]Strings'!A3:K102,'[1]Strings'!A1,FALSE)</f>
        <v>Boxenlader :</v>
      </c>
      <c r="B7" s="559"/>
      <c r="C7" s="559"/>
      <c r="D7" s="560"/>
      <c r="E7" s="554" t="s">
        <v>2991</v>
      </c>
      <c r="F7" s="554"/>
      <c r="G7" s="554"/>
      <c r="H7" s="554"/>
      <c r="I7" s="554"/>
      <c r="J7" s="555"/>
      <c r="K7" s="26"/>
      <c r="L7" s="512"/>
      <c r="M7" s="513"/>
      <c r="N7" s="513"/>
      <c r="O7" s="484">
        <f>IF($W$8&lt;O6,"",IF(SMALL($V$22:$X$76,O6)&lt;$R$3,"UIT !",SMALL($V$22:$X$76,O6)))</f>
        <v>19.75</v>
      </c>
      <c r="P7" s="484"/>
      <c r="Q7" s="484">
        <f>IF($W$8&lt;Q6,"",IF(SMALL($V$22:$X$76,Q6)&lt;$R$3,"UIT !",SMALL($V$22:$X$76,Q6)))</f>
        <v>19.94</v>
      </c>
      <c r="R7" s="484"/>
      <c r="S7" s="484">
        <f>IF($W$8&lt;S6,"",IF(SMALL($V$22:$X$76,S6)&lt;$R$3,"UIT !",SMALL($V$22:$X$76,S6)))</f>
        <v>20.06</v>
      </c>
      <c r="T7" s="484"/>
      <c r="U7" s="484">
        <f>IF($W$8&lt;U6,"",IF(SMALL($V$22:$X$76,U6)&lt;$R$3,"UIT !",SMALL($V$22:$X$76,U6)))</f>
        <v>20.08</v>
      </c>
      <c r="V7" s="484"/>
      <c r="W7" s="482">
        <f>IF($W$8&lt;W6,"",IF(SMALL($V$22:$X$76,W6)&lt;$R$3,"UIT !",SMALL($V$22:$X$76,W6)))</f>
        <v>20.22</v>
      </c>
      <c r="X7" s="482"/>
      <c r="Y7" s="482">
        <f>IF($W$8&lt;Y6,"",IF(SMALL($V$22:$X$76,Y6)&lt;$R$3,"UIT !",SMALL($V$22:$X$76,Y6)))</f>
        <v>20.29</v>
      </c>
      <c r="Z7" s="483"/>
    </row>
    <row r="8" spans="1:26" ht="3.75" customHeight="1" thickBot="1">
      <c r="A8" s="30"/>
      <c r="B8" s="30"/>
      <c r="C8" s="30"/>
      <c r="D8" s="30"/>
      <c r="E8" s="26"/>
      <c r="F8" s="26"/>
      <c r="G8" s="26"/>
      <c r="H8" s="26"/>
      <c r="I8" s="26"/>
      <c r="J8" s="26"/>
      <c r="K8" s="26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  <c r="W8" s="520">
        <f>COUNT(V22:X76)</f>
        <v>18</v>
      </c>
      <c r="X8" s="521"/>
      <c r="Y8" s="521"/>
      <c r="Z8" s="522"/>
    </row>
    <row r="9" spans="1:31" s="17" customFormat="1" ht="13.5" customHeight="1">
      <c r="A9" s="33"/>
      <c r="B9" s="523" t="str">
        <f>VLOOKUP("Naam hond",'[1]Strings'!A3:K102,'[1]Strings'!A1,FALSE)</f>
        <v>Hundename</v>
      </c>
      <c r="C9" s="523"/>
      <c r="D9" s="523"/>
      <c r="E9" s="498" t="str">
        <f>VLOOKUP("Ras",'[1]Strings'!A3:K102,'[1]Strings'!A1,FALSE)</f>
        <v>Rasse</v>
      </c>
      <c r="F9" s="499"/>
      <c r="G9" s="500"/>
      <c r="H9" s="499" t="str">
        <f>VLOOKUP("Sprong",'[1]Strings'!A3:K102,'[1]Strings'!A1,FALSE)</f>
        <v>Sprunghöhe</v>
      </c>
      <c r="I9" s="499"/>
      <c r="J9" s="506"/>
      <c r="K9" s="34" t="str">
        <f>VLOOKUP("controle",'[1]Strings'!A3:K102,'[1]Strings'!A1,FALSE)</f>
        <v>DE-Nr.</v>
      </c>
      <c r="L9" s="498" t="str">
        <f>VLOOKUP("BFB nr",'[1]Strings'!A3:K102,'[1]Strings'!A1,FALSE)</f>
        <v>Hunde Nr.</v>
      </c>
      <c r="M9" s="504"/>
      <c r="N9" s="499" t="str">
        <f>VLOOKUP("Geleider",'[1]Strings'!A3:K102,'[1]Strings'!A1,FALSE)</f>
        <v>Hundeführer</v>
      </c>
      <c r="O9" s="499"/>
      <c r="P9" s="499"/>
      <c r="Q9" s="499"/>
      <c r="R9" s="499"/>
      <c r="S9" s="499"/>
      <c r="T9" s="499"/>
      <c r="U9" s="499"/>
      <c r="V9" s="499"/>
      <c r="W9" s="514">
        <f>VLOOKUP("Kwalificatie",'[1]Strings'!A3:K102,'[1]Strings'!A1,FALSE)</f>
        <v>0</v>
      </c>
      <c r="X9" s="515"/>
      <c r="Y9" s="515"/>
      <c r="Z9" s="516"/>
      <c r="AA9" s="35"/>
      <c r="AB9" s="36"/>
      <c r="AC9" s="36"/>
      <c r="AD9" s="36"/>
      <c r="AE9" s="20"/>
    </row>
    <row r="10" spans="1:49" s="17" customFormat="1" ht="13.5" customHeight="1" thickBot="1">
      <c r="A10" s="37"/>
      <c r="B10" s="524">
        <f>VLOOKUP("Nom du chien",'[1]Strings'!A3:K102,'[1]Strings'!A1,FALSE)</f>
        <v>0</v>
      </c>
      <c r="C10" s="524"/>
      <c r="D10" s="524"/>
      <c r="E10" s="501">
        <f>VLOOKUP("Race(F)",'[1]Strings'!A3:K102,'[1]Strings'!A1,FALSE)</f>
        <v>0</v>
      </c>
      <c r="F10" s="502"/>
      <c r="G10" s="503"/>
      <c r="H10" s="502">
        <f>VLOOKUP("Saute",'[1]Strings'!A3:K102,'[1]Strings'!A1,FALSE)</f>
        <v>0</v>
      </c>
      <c r="I10" s="502"/>
      <c r="J10" s="507"/>
      <c r="K10" s="38"/>
      <c r="L10" s="501"/>
      <c r="M10" s="505" t="s">
        <v>15</v>
      </c>
      <c r="N10" s="502">
        <f>VLOOKUP("Conducteur",'[1]Strings'!A3:K102,'[1]Strings'!A1,FALSE)</f>
        <v>0</v>
      </c>
      <c r="O10" s="502"/>
      <c r="P10" s="502"/>
      <c r="Q10" s="502"/>
      <c r="R10" s="502"/>
      <c r="S10" s="502"/>
      <c r="T10" s="502"/>
      <c r="U10" s="502"/>
      <c r="V10" s="502"/>
      <c r="W10" s="517">
        <f>VLOOKUP("Qualification",'[1]Strings'!A3:K102,'[1]Strings'!A1,FALSE)</f>
        <v>0</v>
      </c>
      <c r="X10" s="518"/>
      <c r="Y10" s="518"/>
      <c r="Z10" s="519"/>
      <c r="AA10" s="35"/>
      <c r="AB10" s="36"/>
      <c r="AC10" s="36"/>
      <c r="AD10" s="36"/>
      <c r="AE10" s="20"/>
      <c r="AR10" s="17" t="str">
        <f>VLOOKUP("Veterans (&gt;=32)",'[1]Strings'!A3:K102,'[1]Strings'!A1,FALSE)</f>
        <v>Veterans (&gt;=32)</v>
      </c>
      <c r="AS10" s="463" t="e">
        <f>SMALL(AS11:AS19,1)+SMALL(AS11:AS19,2)+SMALL(AS11:AS19,3)+SMALL(AS11:AS19,4)</f>
        <v>#VALUE!</v>
      </c>
      <c r="AT10" s="18" t="s">
        <v>837</v>
      </c>
      <c r="AU10" s="18" t="s">
        <v>169</v>
      </c>
      <c r="AV10" s="18" t="s">
        <v>838</v>
      </c>
      <c r="AW10" s="18" t="s">
        <v>166</v>
      </c>
    </row>
    <row r="11" spans="1:49" s="25" customFormat="1" ht="15" customHeight="1" thickBot="1">
      <c r="A11" s="39">
        <v>1</v>
      </c>
      <c r="B11" s="493" t="str">
        <f>IF($L11="","",VLOOKUP($L11,Honden,2,FALSE))</f>
        <v>Kody</v>
      </c>
      <c r="C11" s="494"/>
      <c r="D11" s="494"/>
      <c r="E11" s="493" t="str">
        <f>IF($L11="","",VLOOKUP($L11,Honden,3,FALSE))</f>
        <v>Border Collie</v>
      </c>
      <c r="F11" s="494"/>
      <c r="G11" s="494"/>
      <c r="H11" s="508" t="str">
        <f>IF($L11="","",VLOOKUP($L11,Honden,4,FALSE))</f>
        <v>35,00</v>
      </c>
      <c r="I11" s="509"/>
      <c r="J11" s="75"/>
      <c r="K11" s="1" t="str">
        <f>IF($L11="","",VLOOKUP($L11,Honden!$B$2:$I$1200,8,))</f>
        <v>ok</v>
      </c>
      <c r="L11" s="495">
        <v>1441</v>
      </c>
      <c r="M11" s="495"/>
      <c r="N11" s="485" t="str">
        <f>IF($L11="","",VLOOKUP($L11,Honden,5,FALSE))</f>
        <v>Ariane</v>
      </c>
      <c r="O11" s="485"/>
      <c r="P11" s="485"/>
      <c r="Q11" s="485" t="e">
        <v>#N/A</v>
      </c>
      <c r="R11" s="485"/>
      <c r="S11" s="485"/>
      <c r="T11" s="485" t="e">
        <v>#N/A</v>
      </c>
      <c r="U11" s="485"/>
      <c r="V11" s="486"/>
      <c r="W11" s="40"/>
      <c r="X11" s="41"/>
      <c r="Y11" s="42"/>
      <c r="Z11" s="43"/>
      <c r="AA11" s="22"/>
      <c r="AB11" s="23"/>
      <c r="AC11" s="23"/>
      <c r="AD11" s="23"/>
      <c r="AE11" s="24"/>
      <c r="AR11" s="464" t="str">
        <f>IF($L11="","",VLOOKUP($L11,Honden,6,FALSE))</f>
        <v>16.02.2010</v>
      </c>
      <c r="AS11" s="465" t="e">
        <f aca="true" t="shared" si="0" ref="AS11:AS19">IF(AR11&lt;&gt;"",ROUNDDOWN(_XLL.BRTEILJAHRE(AR11,$O$1),0),99)</f>
        <v>#VALUE!</v>
      </c>
      <c r="AT11" s="25" t="str">
        <f>IF($L11="","",VLOOKUP($L11,Honden!$B$2:$L$1200,9,))</f>
        <v>Volkmann</v>
      </c>
      <c r="AU11" s="25">
        <f>IF($L11="","",VLOOKUP($L11,Honden!$B$2:$L$1200,11,))</f>
        <v>276098102509584</v>
      </c>
      <c r="AV11" s="473" t="str">
        <f>IF($L11="","",VLOOKUP($L11,Honden!$B$2:$L$1200,6,))</f>
        <v>16.02.2010</v>
      </c>
      <c r="AW11" s="473" t="str">
        <f>IF($L11="","",VLOOKUP($L11,Honden!$B$2:$L$1200,7,))</f>
        <v>04.05.2019</v>
      </c>
    </row>
    <row r="12" spans="1:49" s="25" customFormat="1" ht="15" customHeight="1" thickBot="1">
      <c r="A12" s="44">
        <v>2</v>
      </c>
      <c r="B12" s="493" t="str">
        <f>IF($L12="","",VLOOKUP($L12,Honden,2,FALSE))</f>
        <v>Jamie</v>
      </c>
      <c r="C12" s="494"/>
      <c r="D12" s="494"/>
      <c r="E12" s="493" t="str">
        <f>IF($L12="","",VLOOKUP($L12,Honden,3,FALSE))</f>
        <v>Border Collie</v>
      </c>
      <c r="F12" s="494"/>
      <c r="G12" s="494"/>
      <c r="H12" s="508" t="str">
        <f>IF($L12="","",VLOOKUP($L12,Honden,4,FALSE))</f>
        <v>35,00</v>
      </c>
      <c r="I12" s="509"/>
      <c r="J12" s="75"/>
      <c r="K12" s="1" t="str">
        <f>IF($L12="","",VLOOKUP($L12,Honden!$B$2:$I$1200,8,))</f>
        <v>ok</v>
      </c>
      <c r="L12" s="495">
        <v>2473</v>
      </c>
      <c r="M12" s="495"/>
      <c r="N12" s="485" t="str">
        <f>IF($L12="","",VLOOKUP($L12,Honden,5,FALSE))</f>
        <v>Robert</v>
      </c>
      <c r="O12" s="485"/>
      <c r="P12" s="485"/>
      <c r="Q12" s="485" t="e">
        <v>#N/A</v>
      </c>
      <c r="R12" s="485"/>
      <c r="S12" s="485"/>
      <c r="T12" s="485" t="e">
        <v>#N/A</v>
      </c>
      <c r="U12" s="485"/>
      <c r="V12" s="486"/>
      <c r="W12" s="40"/>
      <c r="X12" s="41"/>
      <c r="Y12" s="42"/>
      <c r="Z12" s="43"/>
      <c r="AA12" s="22"/>
      <c r="AB12" s="23"/>
      <c r="AC12" s="23"/>
      <c r="AD12" s="23"/>
      <c r="AE12" s="24"/>
      <c r="AR12" s="464" t="str">
        <f>IF($L12="","",VLOOKUP($L12,Honden,6,FALSE))</f>
        <v>08.02.2013</v>
      </c>
      <c r="AS12" s="465" t="e">
        <f t="shared" si="0"/>
        <v>#VALUE!</v>
      </c>
      <c r="AT12" s="25" t="str">
        <f>IF($L12="","",VLOOKUP($L12,Honden!$B$2:$L$1200,9,))</f>
        <v>Pausch</v>
      </c>
      <c r="AU12" s="25">
        <f>IF($L12="","",VLOOKUP($L12,Honden!$B$2:$L$1200,11,))</f>
        <v>276098104744441</v>
      </c>
      <c r="AV12" s="473" t="str">
        <f>IF($L12="","",VLOOKUP($L12,Honden!$B$2:$L$1200,6,))</f>
        <v>08.02.2013</v>
      </c>
      <c r="AW12" s="473" t="str">
        <f>IF($L12="","",VLOOKUP($L12,Honden!$B$2:$L$1200,7,))</f>
        <v>16.03.2019</v>
      </c>
    </row>
    <row r="13" spans="1:49" s="25" customFormat="1" ht="15" customHeight="1" thickBot="1">
      <c r="A13" s="39">
        <v>3</v>
      </c>
      <c r="B13" s="493" t="str">
        <f>IF($L13="","",VLOOKUP($L13,Honden,2,FALSE))</f>
        <v>Moon</v>
      </c>
      <c r="C13" s="494"/>
      <c r="D13" s="494"/>
      <c r="E13" s="493" t="str">
        <f>IF($L13="","",VLOOKUP($L13,Honden,3,FALSE))</f>
        <v>Border Collie</v>
      </c>
      <c r="F13" s="494"/>
      <c r="G13" s="494"/>
      <c r="H13" s="508" t="str">
        <f>IF($L13="","",VLOOKUP($L13,Honden,4,FALSE))</f>
        <v>35,00</v>
      </c>
      <c r="I13" s="509"/>
      <c r="J13" s="75"/>
      <c r="K13" s="1" t="str">
        <f>IF($L13="","",VLOOKUP($L13,Honden!$B$2:$I$1200,8,))</f>
        <v>ok</v>
      </c>
      <c r="L13" s="495">
        <v>1506</v>
      </c>
      <c r="M13" s="495"/>
      <c r="N13" s="485" t="str">
        <f>IF($L13="","",VLOOKUP($L13,Honden,5,FALSE))</f>
        <v>Roswitha</v>
      </c>
      <c r="O13" s="485"/>
      <c r="P13" s="485"/>
      <c r="Q13" s="485" t="e">
        <v>#N/A</v>
      </c>
      <c r="R13" s="485"/>
      <c r="S13" s="485"/>
      <c r="T13" s="485" t="e">
        <v>#N/A</v>
      </c>
      <c r="U13" s="485"/>
      <c r="V13" s="486"/>
      <c r="W13" s="40"/>
      <c r="X13" s="41"/>
      <c r="Y13" s="42"/>
      <c r="Z13" s="43"/>
      <c r="AA13" s="22"/>
      <c r="AB13" s="23"/>
      <c r="AC13" s="23"/>
      <c r="AD13" s="23"/>
      <c r="AE13" s="24"/>
      <c r="AR13" s="464" t="str">
        <f>IF($L13="","",VLOOKUP($L13,Honden,6,FALSE))</f>
        <v>10.05.2010</v>
      </c>
      <c r="AS13" s="465" t="e">
        <f>IF(AR13&lt;&gt;"",ROUNDDOWN(_XLL.BRTEILJAHRE(AR13,$O$1),0),99)</f>
        <v>#VALUE!</v>
      </c>
      <c r="AT13" s="25" t="str">
        <f>IF($L13="","",VLOOKUP($L13,Honden!$B$2:$L$1200,9,))</f>
        <v>Pausch</v>
      </c>
      <c r="AU13" s="25">
        <f>IF($L13="","",VLOOKUP($L13,Honden!$B$2:$L$1200,11,))</f>
        <v>276096100271023</v>
      </c>
      <c r="AV13" s="473" t="str">
        <f>IF($L13="","",VLOOKUP($L13,Honden!$B$2:$L$1200,6,))</f>
        <v>10.05.2010</v>
      </c>
      <c r="AW13" s="473" t="str">
        <f>IF($L13="","",VLOOKUP($L13,Honden!$B$2:$L$1200,7,))</f>
        <v>16.03.2019</v>
      </c>
    </row>
    <row r="14" spans="1:49" s="25" customFormat="1" ht="15" customHeight="1" thickBot="1">
      <c r="A14" s="44">
        <v>4</v>
      </c>
      <c r="B14" s="493" t="str">
        <f>IF($L14="","",VLOOKUP($L14,Honden,2,FALSE))</f>
        <v>Lee</v>
      </c>
      <c r="C14" s="494"/>
      <c r="D14" s="494"/>
      <c r="E14" s="493" t="str">
        <f>IF($L14="","",VLOOKUP($L14,Honden,3,FALSE))</f>
        <v>Border Collie</v>
      </c>
      <c r="F14" s="494"/>
      <c r="G14" s="494"/>
      <c r="H14" s="508" t="str">
        <f>IF($L14="","",VLOOKUP($L14,Honden,4,FALSE))</f>
        <v>35,00</v>
      </c>
      <c r="I14" s="509"/>
      <c r="J14" s="75"/>
      <c r="K14" s="1" t="str">
        <f>IF($L14="","",VLOOKUP($L14,Honden!$B$2:$I$1200,8,))</f>
        <v>ok</v>
      </c>
      <c r="L14" s="495">
        <v>909</v>
      </c>
      <c r="M14" s="495"/>
      <c r="N14" s="485" t="str">
        <f>IF($L14="","",VLOOKUP($L14,Honden,5,FALSE))</f>
        <v>Markus</v>
      </c>
      <c r="O14" s="485"/>
      <c r="P14" s="485"/>
      <c r="Q14" s="485" t="e">
        <v>#N/A</v>
      </c>
      <c r="R14" s="485"/>
      <c r="S14" s="485"/>
      <c r="T14" s="485" t="e">
        <v>#N/A</v>
      </c>
      <c r="U14" s="485"/>
      <c r="V14" s="486"/>
      <c r="W14" s="40"/>
      <c r="X14" s="41"/>
      <c r="Y14" s="42"/>
      <c r="Z14" s="43"/>
      <c r="AA14" s="22"/>
      <c r="AB14" s="23"/>
      <c r="AC14" s="23"/>
      <c r="AD14" s="23"/>
      <c r="AE14" s="24"/>
      <c r="AR14" s="464" t="str">
        <f>IF($L14="","",VLOOKUP($L14,Honden,6,FALSE))</f>
        <v>01.09.2007</v>
      </c>
      <c r="AS14" s="465" t="e">
        <f>IF(AR14&lt;&gt;"",ROUNDDOWN(_XLL.BRTEILJAHRE(AR14,$O$1),0),99)</f>
        <v>#VALUE!</v>
      </c>
      <c r="AT14" s="25">
        <f>IF($L14="","",VLOOKUP($L14,Honden!$B$2:$L$1200,9,))</f>
        <v>0</v>
      </c>
      <c r="AU14" s="25">
        <f>IF($L14="","",VLOOKUP($L14,Honden!$B$2:$L$1200,11,))</f>
        <v>276097200765772</v>
      </c>
      <c r="AV14" s="473" t="str">
        <f>IF($L14="","",VLOOKUP($L14,Honden!$B$2:$L$1200,6,))</f>
        <v>01.09.2007</v>
      </c>
      <c r="AW14" s="473" t="str">
        <f>IF($L14="","",VLOOKUP($L14,Honden!$B$2:$L$1200,7,))</f>
        <v>16.03.2019</v>
      </c>
    </row>
    <row r="15" spans="1:49" s="25" customFormat="1" ht="15" customHeight="1" thickBot="1">
      <c r="A15" s="39">
        <v>5</v>
      </c>
      <c r="B15" s="493" t="str">
        <f>IF($L15="","",VLOOKUP($L15,Honden,2,FALSE))</f>
        <v>Neo</v>
      </c>
      <c r="C15" s="494"/>
      <c r="D15" s="494"/>
      <c r="E15" s="493" t="str">
        <f>IF($L15="","",VLOOKUP($L15,Honden,3,FALSE))</f>
        <v>Mix</v>
      </c>
      <c r="F15" s="494"/>
      <c r="G15" s="494"/>
      <c r="H15" s="508" t="str">
        <f>IF($L15="","",VLOOKUP($L15,Honden,4,FALSE))</f>
        <v>99,00</v>
      </c>
      <c r="I15" s="509"/>
      <c r="J15" s="75"/>
      <c r="K15" s="1">
        <v>30</v>
      </c>
      <c r="L15" s="495">
        <v>2709</v>
      </c>
      <c r="M15" s="495"/>
      <c r="N15" s="485" t="str">
        <f>IF($L15="","",VLOOKUP($L15,Honden,5,FALSE))</f>
        <v>Kathrina</v>
      </c>
      <c r="O15" s="485"/>
      <c r="P15" s="485"/>
      <c r="Q15" s="485" t="e">
        <v>#N/A</v>
      </c>
      <c r="R15" s="485"/>
      <c r="S15" s="485"/>
      <c r="T15" s="485" t="e">
        <v>#N/A</v>
      </c>
      <c r="U15" s="485"/>
      <c r="V15" s="486"/>
      <c r="W15" s="40"/>
      <c r="X15" s="41"/>
      <c r="Y15" s="42"/>
      <c r="Z15" s="43"/>
      <c r="AA15" s="22"/>
      <c r="AB15" s="23"/>
      <c r="AC15" s="23"/>
      <c r="AD15" s="23"/>
      <c r="AE15" s="24"/>
      <c r="AR15" s="464" t="str">
        <f>IF($L15="","",VLOOKUP($L15,Honden,6,FALSE))</f>
        <v>14.05.2014</v>
      </c>
      <c r="AS15" s="465" t="e">
        <f>IF(AR15&lt;&gt;"",ROUNDDOWN(_XLL.BRTEILJAHRE(AR15,$O$1),0),99)</f>
        <v>#VALUE!</v>
      </c>
      <c r="AT15" s="25" t="str">
        <f>IF($L15="","",VLOOKUP($L15,Honden!$B$2:$L$1200,9,))</f>
        <v>Gerling</v>
      </c>
      <c r="AU15" s="25">
        <f>IF($L15="","",VLOOKUP($L15,Honden!$B$2:$L$1200,11,))</f>
        <v>642098100021319</v>
      </c>
      <c r="AV15" s="473" t="str">
        <f>IF($L15="","",VLOOKUP($L15,Honden!$B$2:$L$1200,6,))</f>
        <v>14.05.2014</v>
      </c>
      <c r="AW15" s="473" t="str">
        <f>IF($L15="","",VLOOKUP($L15,Honden!$B$2:$L$1200,7,))</f>
        <v>30.07.2018</v>
      </c>
    </row>
    <row r="16" spans="1:49" s="25" customFormat="1" ht="15" customHeight="1" thickBot="1">
      <c r="A16" s="44">
        <v>6</v>
      </c>
      <c r="B16" s="493">
        <f>IF($L16="","",VLOOKUP($L16,Honden,2,FALSE))</f>
      </c>
      <c r="C16" s="494"/>
      <c r="D16" s="494"/>
      <c r="E16" s="493">
        <f>IF($L16="","",VLOOKUP($L16,Honden,3,FALSE))</f>
      </c>
      <c r="F16" s="494"/>
      <c r="G16" s="494"/>
      <c r="H16" s="508">
        <f>IF($L16="","",VLOOKUP($L16,Honden,4,FALSE))</f>
      </c>
      <c r="I16" s="509"/>
      <c r="J16" s="75"/>
      <c r="K16" s="1"/>
      <c r="L16" s="495"/>
      <c r="M16" s="495"/>
      <c r="N16" s="485">
        <f>IF($L16="","",VLOOKUP($L16,Honden,5,FALSE))</f>
      </c>
      <c r="O16" s="485"/>
      <c r="P16" s="485"/>
      <c r="Q16" s="485" t="e">
        <v>#N/A</v>
      </c>
      <c r="R16" s="485"/>
      <c r="S16" s="485"/>
      <c r="T16" s="485" t="e">
        <v>#N/A</v>
      </c>
      <c r="U16" s="485"/>
      <c r="V16" s="486"/>
      <c r="W16" s="40"/>
      <c r="X16" s="41"/>
      <c r="Y16" s="42"/>
      <c r="Z16" s="43"/>
      <c r="AA16" s="22"/>
      <c r="AB16" s="23"/>
      <c r="AC16" s="23"/>
      <c r="AD16" s="23"/>
      <c r="AE16" s="24"/>
      <c r="AM16" s="45"/>
      <c r="AR16" s="464">
        <f>IF($L16="","",VLOOKUP($L16,Honden,6,FALSE))</f>
      </c>
      <c r="AS16" s="465">
        <f t="shared" si="0"/>
        <v>99</v>
      </c>
      <c r="AT16" s="25">
        <f>IF($L16="","",VLOOKUP($L16,Honden!$B$2:$L$1200,9,))</f>
      </c>
      <c r="AU16" s="25">
        <f>IF($L16="","",VLOOKUP($L16,Honden!$B$2:$L$1200,11,))</f>
      </c>
      <c r="AV16" s="473">
        <f>IF($L16="","",VLOOKUP($L16,Honden!$B$2:$L$1200,6,))</f>
      </c>
      <c r="AW16" s="473">
        <f>IF($L16="","",VLOOKUP($L16,Honden!$B$2:$L$1200,7,))</f>
      </c>
    </row>
    <row r="17" spans="1:49" s="25" customFormat="1" ht="15" customHeight="1" thickBot="1">
      <c r="A17" s="39">
        <v>7</v>
      </c>
      <c r="B17" s="493">
        <f>IF($L17="","",VLOOKUP($L17,Honden,2,FALSE))</f>
      </c>
      <c r="C17" s="494"/>
      <c r="D17" s="494"/>
      <c r="E17" s="493">
        <f>IF($L17="","",VLOOKUP($L17,Honden,3,FALSE))</f>
      </c>
      <c r="F17" s="494"/>
      <c r="G17" s="494"/>
      <c r="H17" s="508">
        <f>IF($L17="","",VLOOKUP($L17,Honden,4,FALSE))</f>
      </c>
      <c r="I17" s="509"/>
      <c r="J17" s="75"/>
      <c r="K17" s="1">
        <f>IF($L17="","",VLOOKUP($L17,Honden!$B$2:$I$1200,8,))</f>
      </c>
      <c r="L17" s="495"/>
      <c r="M17" s="495"/>
      <c r="N17" s="485">
        <f>IF($L17="","",VLOOKUP($L17,Honden,5,FALSE))</f>
      </c>
      <c r="O17" s="485"/>
      <c r="P17" s="485"/>
      <c r="Q17" s="485" t="e">
        <v>#N/A</v>
      </c>
      <c r="R17" s="485"/>
      <c r="S17" s="485"/>
      <c r="T17" s="485" t="e">
        <v>#N/A</v>
      </c>
      <c r="U17" s="485"/>
      <c r="V17" s="486"/>
      <c r="W17" s="40"/>
      <c r="X17" s="41"/>
      <c r="Y17" s="42"/>
      <c r="Z17" s="43"/>
      <c r="AA17" s="22"/>
      <c r="AB17" s="23"/>
      <c r="AC17" s="23"/>
      <c r="AD17" s="23"/>
      <c r="AE17" s="24"/>
      <c r="AR17" s="464">
        <f>IF($L17="","",VLOOKUP($L17,Honden,6,FALSE))</f>
      </c>
      <c r="AS17" s="465">
        <f t="shared" si="0"/>
        <v>99</v>
      </c>
      <c r="AT17" s="25">
        <f>IF($L17="","",VLOOKUP($L17,Honden!$B$2:$L$1200,9,))</f>
      </c>
      <c r="AU17" s="25">
        <f>IF($L17="","",VLOOKUP($L17,Honden!$B$2:$L$1200,11,))</f>
      </c>
      <c r="AV17" s="473">
        <f>IF($L17="","",VLOOKUP($L17,Honden!$B$2:$L$1200,6,))</f>
      </c>
      <c r="AW17" s="473">
        <f>IF($L17="","",VLOOKUP($L17,Honden!$B$2:$L$1200,7,))</f>
      </c>
    </row>
    <row r="18" spans="1:49" s="25" customFormat="1" ht="15" customHeight="1" thickBot="1">
      <c r="A18" s="44">
        <v>8</v>
      </c>
      <c r="B18" s="493">
        <f>IF($L18="","",VLOOKUP($L18,Honden,2,FALSE))</f>
      </c>
      <c r="C18" s="494"/>
      <c r="D18" s="494"/>
      <c r="E18" s="493">
        <f>IF($L18="","",VLOOKUP($L18,Honden,3,FALSE))</f>
      </c>
      <c r="F18" s="494"/>
      <c r="G18" s="494"/>
      <c r="H18" s="508">
        <f>IF($L18="","",VLOOKUP($L18,Honden,4,FALSE))</f>
      </c>
      <c r="I18" s="509"/>
      <c r="J18" s="75"/>
      <c r="K18" s="1">
        <f>IF($L18="","",VLOOKUP($L18,Honden!$B$2:$I$1200,8,))</f>
      </c>
      <c r="L18" s="495"/>
      <c r="M18" s="495"/>
      <c r="N18" s="485">
        <f>IF($L18="","",VLOOKUP($L18,Honden,5,FALSE))</f>
      </c>
      <c r="O18" s="485"/>
      <c r="P18" s="485"/>
      <c r="Q18" s="485" t="e">
        <v>#N/A</v>
      </c>
      <c r="R18" s="485"/>
      <c r="S18" s="485"/>
      <c r="T18" s="485" t="e">
        <v>#N/A</v>
      </c>
      <c r="U18" s="485"/>
      <c r="V18" s="486"/>
      <c r="W18" s="40"/>
      <c r="X18" s="41"/>
      <c r="Y18" s="42"/>
      <c r="Z18" s="43"/>
      <c r="AA18" s="22"/>
      <c r="AB18" s="23"/>
      <c r="AC18" s="23"/>
      <c r="AD18" s="23"/>
      <c r="AE18" s="24"/>
      <c r="AR18" s="464">
        <f>IF($L18="","",VLOOKUP($L18,Honden,6,FALSE))</f>
      </c>
      <c r="AS18" s="465">
        <f t="shared" si="0"/>
        <v>99</v>
      </c>
      <c r="AT18" s="25">
        <f>IF($L18="","",VLOOKUP($L18,Honden!$B$2:$L$1200,9,))</f>
      </c>
      <c r="AU18" s="25">
        <f>IF($L18="","",VLOOKUP($L18,Honden!$B$2:$L$1200,11,))</f>
      </c>
      <c r="AV18" s="473">
        <f>IF($L18="","",VLOOKUP($L18,Honden!$B$2:$L$1200,6,))</f>
      </c>
      <c r="AW18" s="473">
        <f>IF($L18="","",VLOOKUP($L18,Honden!$B$2:$L$1200,7,))</f>
      </c>
    </row>
    <row r="19" spans="1:49" s="25" customFormat="1" ht="15" customHeight="1" thickBot="1">
      <c r="A19" s="39">
        <v>9</v>
      </c>
      <c r="B19" s="493">
        <f>IF($L19="","",VLOOKUP($L19,Honden,2,FALSE))</f>
      </c>
      <c r="C19" s="494"/>
      <c r="D19" s="494"/>
      <c r="E19" s="493">
        <f>IF($L19="","",VLOOKUP($L19,Honden,3,FALSE))</f>
      </c>
      <c r="F19" s="494"/>
      <c r="G19" s="494"/>
      <c r="H19" s="508">
        <f>IF($L19="","",VLOOKUP($L19,Honden,4,FALSE))</f>
      </c>
      <c r="I19" s="509"/>
      <c r="J19" s="75"/>
      <c r="K19" s="1">
        <f>IF($L19="","",VLOOKUP($L19,Honden!$B$2:$I$1200,8,))</f>
      </c>
      <c r="L19" s="495"/>
      <c r="M19" s="495"/>
      <c r="N19" s="485">
        <f>IF($L19="","",VLOOKUP($L19,Honden,5,FALSE))</f>
      </c>
      <c r="O19" s="485"/>
      <c r="P19" s="485"/>
      <c r="Q19" s="485" t="e">
        <v>#N/A</v>
      </c>
      <c r="R19" s="485"/>
      <c r="S19" s="485"/>
      <c r="T19" s="485" t="e">
        <v>#N/A</v>
      </c>
      <c r="U19" s="485"/>
      <c r="V19" s="486"/>
      <c r="W19" s="47"/>
      <c r="X19" s="48"/>
      <c r="Y19" s="49"/>
      <c r="Z19" s="50"/>
      <c r="AA19" s="22"/>
      <c r="AB19" s="23"/>
      <c r="AC19" s="23"/>
      <c r="AD19" s="23"/>
      <c r="AE19" s="566">
        <v>1</v>
      </c>
      <c r="AF19" s="567"/>
      <c r="AG19" s="566">
        <v>2</v>
      </c>
      <c r="AH19" s="567"/>
      <c r="AI19" s="566">
        <v>3</v>
      </c>
      <c r="AJ19" s="567"/>
      <c r="AK19" s="566">
        <v>4</v>
      </c>
      <c r="AL19" s="567"/>
      <c r="AM19" s="566">
        <v>5</v>
      </c>
      <c r="AN19" s="567"/>
      <c r="AO19" s="566">
        <v>6</v>
      </c>
      <c r="AP19" s="567"/>
      <c r="AR19" s="464">
        <f>IF($L19="","",VLOOKUP($L19,Honden,6,FALSE))</f>
      </c>
      <c r="AS19" s="465">
        <f t="shared" si="0"/>
        <v>99</v>
      </c>
      <c r="AT19" s="25">
        <f>IF($L19="","",VLOOKUP($L19,Honden!$B$2:$L$1200,9,))</f>
      </c>
      <c r="AU19" s="25">
        <f>IF($L19="","",VLOOKUP($L19,Honden!$B$2:$L$1200,11,))</f>
      </c>
      <c r="AV19" s="473">
        <f>IF($L19="","",VLOOKUP($L19,Honden!$B$2:$L$1200,6,))</f>
      </c>
      <c r="AW19" s="473">
        <f>IF($L19="","",VLOOKUP($L19,Honden!$B$2:$L$1200,7,))</f>
      </c>
    </row>
    <row r="20" spans="1:42" ht="6" customHeight="1">
      <c r="A20" s="32"/>
      <c r="B20" s="32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</row>
    <row r="21" spans="1:44" ht="15" customHeight="1">
      <c r="A21" s="364"/>
      <c r="B21" s="54"/>
      <c r="C21" s="365"/>
      <c r="D21" s="32"/>
      <c r="E21" s="55" t="str">
        <f>VLOOKUP("race",'[1]Strings'!$A$3:$K$102,'[1]Strings'!$A$1,FALSE)</f>
        <v>Rennen</v>
      </c>
      <c r="F21" s="55" t="str">
        <f>VLOOKUP("baan / piste",'[1]Strings'!$A$3:$K$102,'[1]Strings'!$A$1,FALSE)</f>
        <v>Bahn</v>
      </c>
      <c r="G21" s="55"/>
      <c r="H21" s="476" t="str">
        <f>VLOOKUP("tegen / contre",'[1]Strings'!$A$3:$K$102,'[1]Strings'!$A$1,FALSE)</f>
        <v>gegen</v>
      </c>
      <c r="I21" s="476"/>
      <c r="J21" s="476"/>
      <c r="K21" s="476"/>
      <c r="L21" s="477"/>
      <c r="M21" s="477" t="str">
        <f>VLOOKUP("heat",'[1]Strings'!$A$3:$K$102,'[1]Strings'!$A$1,FALSE)</f>
        <v>Lauf</v>
      </c>
      <c r="N21" s="477"/>
      <c r="O21" s="476" t="str">
        <f>VLOOKUP("Honden / chiens",'[1]Strings'!$A$3:$K$102,'[1]Strings'!$A$1,FALSE)</f>
        <v>Hunde</v>
      </c>
      <c r="P21" s="476"/>
      <c r="Q21" s="476"/>
      <c r="R21" s="476"/>
      <c r="S21" s="476"/>
      <c r="T21" s="476"/>
      <c r="U21" s="162" t="str">
        <f>VLOOKUP("          Tijd/temps",'[1]Strings'!$A$3:$K$102,'[1]Strings'!$A$1,FALSE)</f>
        <v>           Zeit</v>
      </c>
      <c r="V21" s="163"/>
      <c r="W21" s="163"/>
      <c r="X21" s="163"/>
      <c r="Y21" s="161" t="str">
        <f>VLOOKUP("    W / L / T",'[1]Strings'!$A$3:$K$102,'[1]Strings'!$A$1,FALSE)</f>
        <v>    W/L/T</v>
      </c>
      <c r="Z21" s="55"/>
      <c r="AA21" s="56"/>
      <c r="AB21" s="55"/>
      <c r="AC21" s="55"/>
      <c r="AD21" s="55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0"/>
      <c r="AR21" s="478"/>
    </row>
    <row r="22" spans="1:44" ht="15" customHeight="1">
      <c r="A22" s="366"/>
      <c r="B22" s="32"/>
      <c r="C22" s="367"/>
      <c r="D22" s="32"/>
      <c r="E22" s="488">
        <f>RR4!K3</f>
        <v>2</v>
      </c>
      <c r="F22" s="59">
        <f>IF(RR4!M3="rood",VLOOKUP("Rood / Rouge",'[1]Strings'!$A$3:$K$102,'[1]Strings'!$A$1,FALSE),"")</f>
      </c>
      <c r="H22" s="478" t="str">
        <f>VLOOKUP(E22&amp;$C$3,RR4!$U$5:$AV$33,28,FALSE)</f>
        <v>Cool Racers</v>
      </c>
      <c r="I22" s="478"/>
      <c r="J22" s="478"/>
      <c r="K22" s="478"/>
      <c r="L22" s="479"/>
      <c r="M22" s="491">
        <v>1</v>
      </c>
      <c r="N22" s="492"/>
      <c r="O22" s="12">
        <v>5</v>
      </c>
      <c r="P22" s="12">
        <v>1</v>
      </c>
      <c r="Q22" s="12">
        <v>2</v>
      </c>
      <c r="R22" s="12">
        <v>4</v>
      </c>
      <c r="S22" s="468"/>
      <c r="T22" s="469"/>
      <c r="U22" s="61">
        <f>IF(V22="","",IF(COUNT(O22:T22)&lt;&gt;4,"X",""))</f>
      </c>
      <c r="V22" s="480">
        <v>22</v>
      </c>
      <c r="W22" s="481"/>
      <c r="X22" s="481"/>
      <c r="Y22" s="61">
        <f>IF($V22="","",IF($R$3&gt;$V22,"X",""))</f>
      </c>
      <c r="Z22" s="12" t="s">
        <v>2992</v>
      </c>
      <c r="AA22" s="11"/>
      <c r="AB22" s="61"/>
      <c r="AC22" s="61"/>
      <c r="AE22" s="62">
        <f>IF(AND(COUNT($V22)=1,OR($O22=1,$P22=1,$Q22=1,$R22=1,$S22=1,$T22=1)),INT($V22),"x")</f>
        <v>22</v>
      </c>
      <c r="AF22" s="63">
        <f>IF(AE22="x","",IF(AE22=SMALL($AE$22:$AE$76,1),AE22,""))</f>
      </c>
      <c r="AG22" s="62">
        <f>IF(AND(COUNT($V22)=1,OR($O22=2,$P22=2,$Q22=2,$R22=2,$S22=2,$T22=2)),INT($V22),"x")</f>
        <v>22</v>
      </c>
      <c r="AH22" s="63">
        <f>IF(AG22="x","",IF(AG22=SMALL($AG$22:$AG$76,1),AG22,""))</f>
      </c>
      <c r="AI22" s="62" t="str">
        <f>IF(AND(COUNT($V22)=1,OR($O22=3,$P22=3,$Q22=3,$R22=3,$S22=3,$T22=3)),INT($V22),"x")</f>
        <v>x</v>
      </c>
      <c r="AJ22" s="63">
        <f>IF(AI22="x","",IF(AI22=SMALL($AI$22:$AI$76,1),AI22,""))</f>
      </c>
      <c r="AK22" s="62">
        <f>IF(AND(COUNT($V22)=1,OR($O22=4,$P22=4,$Q22=4,$R22=4,$S22=4,$T22=4)),INT($V22),"x")</f>
        <v>22</v>
      </c>
      <c r="AL22" s="63">
        <f>IF(AK22="x","",IF(AK22=SMALL($AK$22:$AK$76,1),AK22,""))</f>
      </c>
      <c r="AM22" s="62">
        <f>IF(AND(COUNT($V22)=1,OR($O22=5,$P22=5,$Q22=5,$R22=5,$S22=5,$T22=5)),INT($V22),"x")</f>
        <v>22</v>
      </c>
      <c r="AN22" s="63">
        <f>IF(AM22="x","",IF(AM22=SMALL($AM$22:$AM$76,1),AM22,""))</f>
      </c>
      <c r="AO22" s="62" t="str">
        <f>IF(AND(COUNT($V22)=1,OR($O22=6,$P22=6,$Q22=6,$R22=6,$S22=6,$T22=6)),INT($V22),"x")</f>
        <v>x</v>
      </c>
      <c r="AP22" s="63">
        <f>IF(AO22="x","",IF(AO22=SMALL($AO$22:$AO$76,1),AO22,""))</f>
      </c>
      <c r="AQ22" s="64"/>
      <c r="AR22" s="32"/>
    </row>
    <row r="23" spans="1:44" ht="15" customHeight="1">
      <c r="A23" s="366"/>
      <c r="B23" s="32"/>
      <c r="C23" s="367"/>
      <c r="D23" s="32"/>
      <c r="E23" s="489"/>
      <c r="F23" s="59" t="str">
        <f>IF(RR4!M3="blauw",VLOOKUP("Blauw / Bleu",'[1]Strings'!$A$3:$K$102,'[1]Strings'!$A$1,FALSE),"")</f>
        <v>Blau</v>
      </c>
      <c r="H23" s="490">
        <f>IF(OR(U22="x",Y22="x",AA22="x"),"CONTROLEER INVOER       HEAT 1",IF(OR(U23="x",Y23="x",AA23="x"),"CONTROLEER INVOER       HEAT 2",IF(OR(U24="x",Y24="x",AA24="x"),"CONTROLEER INVOER       HEAT 3",IF(OR(U25="x",Y25="x",AA25="x"),"CONTROLEER INVOER       HEAT 4",IF(OR(U26="x",Y26="x",AA26="x"),"CONTROLEER INVOER       HEAT 5","")))))</f>
      </c>
      <c r="I23" s="490"/>
      <c r="J23" s="490"/>
      <c r="K23" s="490"/>
      <c r="L23" s="490"/>
      <c r="M23" s="491">
        <v>2</v>
      </c>
      <c r="N23" s="492"/>
      <c r="O23" s="12">
        <v>5</v>
      </c>
      <c r="P23" s="12">
        <v>1</v>
      </c>
      <c r="Q23" s="12">
        <v>2</v>
      </c>
      <c r="R23" s="12">
        <v>4</v>
      </c>
      <c r="S23" s="468"/>
      <c r="T23" s="469"/>
      <c r="U23" s="61">
        <f>IF(V23="","",IF(COUNT(O23:T23)&lt;&gt;4,"X",""))</f>
      </c>
      <c r="V23" s="480">
        <v>20.91</v>
      </c>
      <c r="W23" s="481"/>
      <c r="X23" s="481"/>
      <c r="Y23" s="61">
        <f>IF($V23="","",IF($R$3&gt;$V23,"X",""))</f>
      </c>
      <c r="Z23" s="12" t="s">
        <v>2992</v>
      </c>
      <c r="AA23" s="11">
        <f>IF(OR(AND(V23="",Z23&lt;&gt;""),AND(V23&lt;&gt;"",Z23=""),AND(V23="w",Z23&lt;&gt;"w"),AND(V23="nt",Z23="w"),RR4!N5="x"),"x","")</f>
      </c>
      <c r="AB23" s="61"/>
      <c r="AC23" s="61"/>
      <c r="AE23" s="62">
        <f>IF(AND(COUNT($V23)=1,OR($O23=1,$P23=1,$Q23=1,$R23=1,$S23=1,$T23=1)),INT($V23),"x")</f>
        <v>20</v>
      </c>
      <c r="AF23" s="63">
        <f>IF(AE23="x","",IF(AE23=SMALL($AE$22:$AE$76,1),AE23,""))</f>
      </c>
      <c r="AG23" s="62">
        <f>IF(AND(COUNT($V23)=1,OR($O23=2,$P23=2,$Q23=2,$R23=2,$S23=2,$T23=2)),INT($V23),"x")</f>
        <v>20</v>
      </c>
      <c r="AH23" s="63">
        <f>IF(AG23="x","",IF(AG23=SMALL($AG$22:$AG$76,1),AG23,""))</f>
      </c>
      <c r="AI23" s="62" t="str">
        <f>IF(AND(COUNT($V23)=1,OR($O23=3,$P23=3,$Q23=3,$R23=3,$S23=3,$T23=3)),INT($V23),"x")</f>
        <v>x</v>
      </c>
      <c r="AJ23" s="63">
        <f>IF(AI23="x","",IF(AI23=SMALL($AI$22:$AI$76,1),AI23,""))</f>
      </c>
      <c r="AK23" s="62">
        <f>IF(AND(COUNT($V23)=1,OR($O23=4,$P23=4,$Q23=4,$R23=4,$S23=4,$T23=4)),INT($V23),"x")</f>
        <v>20</v>
      </c>
      <c r="AL23" s="63">
        <f>IF(AK23="x","",IF(AK23=SMALL($AK$22:$AK$76,1),AK23,""))</f>
        <v>20</v>
      </c>
      <c r="AM23" s="62">
        <f>IF(AND(COUNT($V23)=1,OR($O23=5,$P23=5,$Q23=5,$R23=5,$S23=5,$T23=5)),INT($V23),"x")</f>
        <v>20</v>
      </c>
      <c r="AN23" s="63">
        <f>IF(AM23="x","",IF(AM23=SMALL($AM$22:$AM$76,1),AM23,""))</f>
      </c>
      <c r="AO23" s="62" t="str">
        <f>IF(AND(COUNT($V23)=1,OR($O23=6,$P23=6,$Q23=6,$R23=6,$S23=6,$T23=6)),INT($V23),"x")</f>
        <v>x</v>
      </c>
      <c r="AP23" s="63">
        <f>IF(AO23="x","",IF(AO23=SMALL($AO$22:$AO$76,1),AO23,""))</f>
      </c>
      <c r="AQ23" s="64"/>
      <c r="AR23" s="32"/>
    </row>
    <row r="24" spans="1:44" ht="15" customHeight="1">
      <c r="A24" s="366"/>
      <c r="B24" s="32"/>
      <c r="C24" s="367"/>
      <c r="D24" s="32"/>
      <c r="E24" s="2" t="str">
        <f>uitslagen!$B$2</f>
        <v>RR</v>
      </c>
      <c r="H24" s="490"/>
      <c r="I24" s="490"/>
      <c r="J24" s="490"/>
      <c r="K24" s="490"/>
      <c r="L24" s="490"/>
      <c r="M24" s="491">
        <v>3</v>
      </c>
      <c r="N24" s="492"/>
      <c r="O24" s="12">
        <v>5</v>
      </c>
      <c r="P24" s="12">
        <v>1</v>
      </c>
      <c r="Q24" s="12">
        <v>2</v>
      </c>
      <c r="R24" s="12">
        <v>4</v>
      </c>
      <c r="S24" s="468"/>
      <c r="T24" s="469"/>
      <c r="U24" s="61">
        <f>IF(V24="","",IF(COUNT(O24:T24)&lt;&gt;4,"X",""))</f>
      </c>
      <c r="V24" s="480">
        <v>54.75</v>
      </c>
      <c r="W24" s="481"/>
      <c r="X24" s="481"/>
      <c r="Y24" s="61">
        <f>IF($V24="","",IF($R$3&gt;$V24,"X",""))</f>
      </c>
      <c r="Z24" s="12" t="s">
        <v>2994</v>
      </c>
      <c r="AA24" s="11">
        <f>IF(OR(AND(V24="",Z24&lt;&gt;""),AND(V24&lt;&gt;"",Z24=""),AND(V24="w",Z24&lt;&gt;"w"),AND(V24="nt",Z24="w"),RR4!N6="x"),"x","")</f>
      </c>
      <c r="AB24" s="61"/>
      <c r="AC24" s="61"/>
      <c r="AE24" s="62">
        <f>IF(AND(COUNT($V24)=1,OR($O24=1,$P24=1,$Q24=1,$R24=1,$S24=1,$T24=1)),INT($V24),"x")</f>
        <v>54</v>
      </c>
      <c r="AF24" s="63">
        <f>IF(AE24="x","",IF(AE24=SMALL($AE$22:$AE$76,1),AE24,""))</f>
      </c>
      <c r="AG24" s="62">
        <f>IF(AND(COUNT($V24)=1,OR($O24=2,$P24=2,$Q24=2,$R24=2,$S24=2,$T24=2)),INT($V24),"x")</f>
        <v>54</v>
      </c>
      <c r="AH24" s="63">
        <f>IF(AG24="x","",IF(AG24=SMALL($AG$22:$AG$76,1),AG24,""))</f>
      </c>
      <c r="AI24" s="62" t="str">
        <f>IF(AND(COUNT($V24)=1,OR($O24=3,$P24=3,$Q24=3,$R24=3,$S24=3,$T24=3)),INT($V24),"x")</f>
        <v>x</v>
      </c>
      <c r="AJ24" s="63">
        <f>IF(AI24="x","",IF(AI24=SMALL($AI$22:$AI$76,1),AI24,""))</f>
      </c>
      <c r="AK24" s="62">
        <f>IF(AND(COUNT($V24)=1,OR($O24=4,$P24=4,$Q24=4,$R24=4,$S24=4,$T24=4)),INT($V24),"x")</f>
        <v>54</v>
      </c>
      <c r="AL24" s="63">
        <f>IF(AK24="x","",IF(AK24=SMALL($AK$22:$AK$76,1),AK24,""))</f>
      </c>
      <c r="AM24" s="62">
        <f>IF(AND(COUNT($V24)=1,OR($O24=5,$P24=5,$Q24=5,$R24=5,$S24=5,$T24=5)),INT($V24),"x")</f>
        <v>54</v>
      </c>
      <c r="AN24" s="63">
        <f>IF(AM24="x","",IF(AM24=SMALL($AM$22:$AM$76,1),AM24,""))</f>
      </c>
      <c r="AO24" s="62" t="str">
        <f>IF(AND(COUNT($V24)=1,OR($O24=6,$P24=6,$Q24=6,$R24=6,$S24=6,$T24=6)),INT($V24),"x")</f>
        <v>x</v>
      </c>
      <c r="AP24" s="63">
        <f>IF(AO24="x","",IF(AO24=SMALL($AO$22:$AO$76,1),AO24,""))</f>
      </c>
      <c r="AQ24" s="64"/>
      <c r="AR24" s="32"/>
    </row>
    <row r="25" spans="1:44" ht="15" customHeight="1">
      <c r="A25" s="366"/>
      <c r="B25" s="32"/>
      <c r="C25" s="367"/>
      <c r="D25" s="32"/>
      <c r="H25" s="490"/>
      <c r="I25" s="490"/>
      <c r="J25" s="490"/>
      <c r="K25" s="490"/>
      <c r="L25" s="490"/>
      <c r="M25" s="491">
        <v>4</v>
      </c>
      <c r="N25" s="492"/>
      <c r="O25" s="12">
        <v>5</v>
      </c>
      <c r="P25" s="12">
        <v>1</v>
      </c>
      <c r="Q25" s="12">
        <v>2</v>
      </c>
      <c r="R25" s="12">
        <v>4</v>
      </c>
      <c r="S25" s="468"/>
      <c r="T25" s="469"/>
      <c r="U25" s="61">
        <f>IF(V25="","",IF(COUNT(O25:T25)&lt;&gt;4,"X",""))</f>
      </c>
      <c r="V25" s="480">
        <v>21.76</v>
      </c>
      <c r="W25" s="481"/>
      <c r="X25" s="481"/>
      <c r="Y25" s="61">
        <f>IF($V25="","",IF($R$3&gt;$V25,"X",""))</f>
      </c>
      <c r="Z25" s="12" t="s">
        <v>2992</v>
      </c>
      <c r="AA25" s="11">
        <f>IF(OR(AND(V25="",Z25&lt;&gt;""),AND(V25&lt;&gt;"",Z25=""),AND(V25="w",Z25&lt;&gt;"w"),AND(V25="nt",Z25="w"),RR4!N7="x"),"x","")</f>
      </c>
      <c r="AB25" s="61"/>
      <c r="AC25" s="61"/>
      <c r="AE25" s="62">
        <f>IF(AND(COUNT($V25)=1,OR($O25=1,$P25=1,$Q25=1,$R25=1,$S25=1,$T25=1)),INT($V25),"x")</f>
        <v>21</v>
      </c>
      <c r="AF25" s="63">
        <f>IF(AE25="x","",IF(AE25=SMALL($AE$22:$AE$76,1),AE25,""))</f>
      </c>
      <c r="AG25" s="62">
        <f>IF(AND(COUNT($V25)=1,OR($O25=2,$P25=2,$Q25=2,$R25=2,$S25=2,$T25=2)),INT($V25),"x")</f>
        <v>21</v>
      </c>
      <c r="AH25" s="63">
        <f>IF(AG25="x","",IF(AG25=SMALL($AG$22:$AG$76,1),AG25,""))</f>
      </c>
      <c r="AI25" s="62" t="str">
        <f>IF(AND(COUNT($V25)=1,OR($O25=3,$P25=3,$Q25=3,$R25=3,$S25=3,$T25=3)),INT($V25),"x")</f>
        <v>x</v>
      </c>
      <c r="AJ25" s="63">
        <f>IF(AI25="x","",IF(AI25=SMALL($AI$22:$AI$76,1),AI25,""))</f>
      </c>
      <c r="AK25" s="62">
        <f>IF(AND(COUNT($V25)=1,OR($O25=4,$P25=4,$Q25=4,$R25=4,$S25=4,$T25=4)),INT($V25),"x")</f>
        <v>21</v>
      </c>
      <c r="AL25" s="63">
        <f>IF(AK25="x","",IF(AK25=SMALL($AK$22:$AK$76,1),AK25,""))</f>
      </c>
      <c r="AM25" s="62">
        <f>IF(AND(COUNT($V25)=1,OR($O25=5,$P25=5,$Q25=5,$R25=5,$S25=5,$T25=5)),INT($V25),"x")</f>
        <v>21</v>
      </c>
      <c r="AN25" s="63">
        <f>IF(AM25="x","",IF(AM25=SMALL($AM$22:$AM$76,1),AM25,""))</f>
      </c>
      <c r="AO25" s="62" t="str">
        <f>IF(AND(COUNT($V25)=1,OR($O25=6,$P25=6,$Q25=6,$R25=6,$S25=6,$T25=6)),INT($V25),"x")</f>
        <v>x</v>
      </c>
      <c r="AP25" s="63">
        <f>IF(AO25="x","",IF(AO25=SMALL($AO$22:$AO$76,1),AO25,""))</f>
      </c>
      <c r="AQ25" s="64"/>
      <c r="AR25" s="32"/>
    </row>
    <row r="26" spans="1:44" ht="15" customHeight="1">
      <c r="A26" s="366"/>
      <c r="B26" s="32"/>
      <c r="C26" s="367"/>
      <c r="D26" s="32"/>
      <c r="H26" s="490"/>
      <c r="I26" s="490"/>
      <c r="J26" s="490"/>
      <c r="K26" s="490"/>
      <c r="L26" s="490"/>
      <c r="M26" s="491">
        <v>5</v>
      </c>
      <c r="N26" s="492"/>
      <c r="O26" s="12"/>
      <c r="P26" s="12"/>
      <c r="Q26" s="12"/>
      <c r="R26" s="12"/>
      <c r="S26" s="468"/>
      <c r="T26" s="469"/>
      <c r="U26" s="61">
        <f>IF(V26="","",IF(COUNT(O26:T26)&lt;&gt;4,"X",""))</f>
      </c>
      <c r="V26" s="480"/>
      <c r="W26" s="481"/>
      <c r="X26" s="481"/>
      <c r="Y26" s="61">
        <f>IF($V26="","",IF($R$3&gt;$V26,"X",""))</f>
      </c>
      <c r="Z26" s="12"/>
      <c r="AA26" s="11">
        <f>IF(OR(AND(V26="",Z26&lt;&gt;""),AND(V26&lt;&gt;"",Z26=""),AND(V26="w",Z26&lt;&gt;"w"),AND(V26="nt",Z26="w"),RR4!N8="x"),"x","")</f>
      </c>
      <c r="AB26" s="61"/>
      <c r="AC26" s="61"/>
      <c r="AE26" s="65" t="str">
        <f>IF(AND(COUNT($V26)=1,OR($O26=1,$P26=1,$Q26=1,$R26=1,$S26=1,$T26=1)),INT($V26),"x")</f>
        <v>x</v>
      </c>
      <c r="AF26" s="66">
        <f>IF(AE26="x","",IF(AE26=SMALL($AE$22:$AE$76,1),AE26,""))</f>
      </c>
      <c r="AG26" s="65" t="str">
        <f>IF(AND(COUNT($V26)=1,OR($O26=2,$P26=2,$Q26=2,$R26=2,$S26=2,$T26=2)),INT($V26),"x")</f>
        <v>x</v>
      </c>
      <c r="AH26" s="63">
        <f>IF(AG26="x","",IF(AG26=SMALL($AG$22:$AG$76,1),AG26,""))</f>
      </c>
      <c r="AI26" s="65" t="str">
        <f>IF(AND(COUNT($V26)=1,OR($O26=3,$P26=3,$Q26=3,$R26=3,$S26=3,$T26=3)),INT($V26),"x")</f>
        <v>x</v>
      </c>
      <c r="AJ26" s="63">
        <f>IF(AI26="x","",IF(AI26=SMALL($AI$22:$AI$76,1),AI26,""))</f>
      </c>
      <c r="AK26" s="65" t="str">
        <f>IF(AND(COUNT($V26)=1,OR($O26=4,$P26=4,$Q26=4,$R26=4,$S26=4,$T26=4)),INT($V26),"x")</f>
        <v>x</v>
      </c>
      <c r="AL26" s="63">
        <f>IF(AK26="x","",IF(AK26=SMALL($AK$22:$AK$76,1),AK26,""))</f>
      </c>
      <c r="AM26" s="65" t="str">
        <f>IF(AND(COUNT($V26)=1,OR($O26=5,$P26=5,$Q26=5,$R26=5,$S26=5,$T26=5)),INT($V26),"x")</f>
        <v>x</v>
      </c>
      <c r="AN26" s="63">
        <f>IF(AM26="x","",IF(AM26=SMALL($AM$22:$AM$76,1),AM26,""))</f>
      </c>
      <c r="AO26" s="65" t="str">
        <f>IF(AND(COUNT($V26)=1,OR($O26=6,$P26=6,$Q26=6,$R26=6,$S26=6,$T26=6)),INT($V26),"x")</f>
        <v>x</v>
      </c>
      <c r="AP26" s="63">
        <f>IF(AO26="x","",IF(AO26=SMALL($AO$22:$AO$76,1),AO26,""))</f>
      </c>
      <c r="AQ26" s="64"/>
      <c r="AR26" s="32"/>
    </row>
    <row r="27" spans="1:42" ht="3.75" customHeight="1">
      <c r="A27" s="366"/>
      <c r="B27" s="32"/>
      <c r="C27" s="3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487"/>
      <c r="W27" s="487"/>
      <c r="X27" s="487"/>
      <c r="Y27" s="67"/>
      <c r="Z27" s="76"/>
      <c r="AA27" s="68"/>
      <c r="AB27" s="61"/>
      <c r="AC27" s="61"/>
      <c r="AE27" s="69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4" ht="15" customHeight="1">
      <c r="A28" s="366"/>
      <c r="B28" s="32"/>
      <c r="C28" s="367"/>
      <c r="D28" s="32"/>
      <c r="E28" s="55" t="str">
        <f>VLOOKUP("race",'[1]Strings'!$A$3:$K$102,'[1]Strings'!$A$1,FALSE)</f>
        <v>Rennen</v>
      </c>
      <c r="F28" s="55" t="str">
        <f>VLOOKUP("baan / piste",'[1]Strings'!$A$3:$K$102,'[1]Strings'!$A$1,FALSE)</f>
        <v>Bahn</v>
      </c>
      <c r="G28" s="55"/>
      <c r="H28" s="476" t="str">
        <f>VLOOKUP("tegen / contre",'[1]Strings'!$A$3:$K$102,'[1]Strings'!$A$1,FALSE)</f>
        <v>gegen</v>
      </c>
      <c r="I28" s="476"/>
      <c r="J28" s="476"/>
      <c r="K28" s="476"/>
      <c r="L28" s="477"/>
      <c r="M28" s="477" t="str">
        <f>VLOOKUP("heat",'[1]Strings'!$A$3:$K$102,'[1]Strings'!$A$1,FALSE)</f>
        <v>Lauf</v>
      </c>
      <c r="N28" s="477"/>
      <c r="O28" s="476" t="str">
        <f>VLOOKUP("Honden / chiens",'[1]Strings'!$A$3:$K$102,'[1]Strings'!$A$1,FALSE)</f>
        <v>Hunde</v>
      </c>
      <c r="P28" s="476"/>
      <c r="Q28" s="476"/>
      <c r="R28" s="476"/>
      <c r="S28" s="476"/>
      <c r="T28" s="476"/>
      <c r="U28" s="162" t="str">
        <f>VLOOKUP("          Tijd/temps",'[1]Strings'!$A$3:$K$102,'[1]Strings'!$A$1,FALSE)</f>
        <v>           Zeit</v>
      </c>
      <c r="V28" s="163"/>
      <c r="W28" s="163"/>
      <c r="X28" s="163"/>
      <c r="Y28" s="161" t="str">
        <f>VLOOKUP("    W / L / T",'[1]Strings'!$A$3:$K$102,'[1]Strings'!$A$1,FALSE)</f>
        <v>    W/L/T</v>
      </c>
      <c r="Z28" s="55"/>
      <c r="AA28" s="68"/>
      <c r="AB28" s="61"/>
      <c r="AC28" s="61"/>
      <c r="AD28" s="55"/>
      <c r="AE28" s="70"/>
      <c r="AF28" s="67"/>
      <c r="AG28" s="70"/>
      <c r="AH28" s="67"/>
      <c r="AI28" s="70"/>
      <c r="AJ28" s="67"/>
      <c r="AK28" s="70"/>
      <c r="AL28" s="67"/>
      <c r="AM28" s="70"/>
      <c r="AN28" s="67"/>
      <c r="AO28" s="70"/>
      <c r="AP28" s="67"/>
      <c r="AQ28" s="565"/>
      <c r="AR28" s="478"/>
    </row>
    <row r="29" spans="1:44" ht="15" customHeight="1">
      <c r="A29" s="366"/>
      <c r="B29" s="32"/>
      <c r="C29" s="367"/>
      <c r="D29" s="32"/>
      <c r="E29" s="488">
        <f>RR4!K10</f>
        <v>3</v>
      </c>
      <c r="F29" s="59">
        <f>IF(RR4!M10="rood",VLOOKUP("Rood / Rouge",'[1]Strings'!$A$3:$K$102,'[1]Strings'!$A$1,FALSE),"")</f>
      </c>
      <c r="H29" s="478" t="str">
        <f>VLOOKUP(E29&amp;$C$3,RR4!$U$5:$AV$33,28,FALSE)</f>
        <v>BayernXpress I</v>
      </c>
      <c r="I29" s="478"/>
      <c r="J29" s="478"/>
      <c r="K29" s="478"/>
      <c r="L29" s="479"/>
      <c r="M29" s="491">
        <v>1</v>
      </c>
      <c r="N29" s="492"/>
      <c r="O29" s="12">
        <v>1</v>
      </c>
      <c r="P29" s="12">
        <v>2</v>
      </c>
      <c r="Q29" s="12">
        <v>3</v>
      </c>
      <c r="R29" s="12">
        <v>4</v>
      </c>
      <c r="S29" s="468"/>
      <c r="T29" s="469"/>
      <c r="U29" s="61">
        <f>IF(V29="","",IF(COUNT(O29:T29)&lt;&gt;4,"X",""))</f>
      </c>
      <c r="V29" s="480">
        <v>20.08</v>
      </c>
      <c r="W29" s="481"/>
      <c r="X29" s="481"/>
      <c r="Y29" s="61">
        <f>IF($V29="","",IF($R$3&gt;$V29,"X",""))</f>
      </c>
      <c r="Z29" s="12" t="s">
        <v>2992</v>
      </c>
      <c r="AA29" s="11">
        <f>IF(OR(AND(V29="",Z29&lt;&gt;""),AND(V29&lt;&gt;"",Z29=""),AND(V29="w",Z29&lt;&gt;"w"),AND(V29="nt",Z29="w"),RR4!N11="x"),"x","")</f>
      </c>
      <c r="AB29" s="61"/>
      <c r="AC29" s="61"/>
      <c r="AE29" s="62">
        <f>IF(AND(COUNT($V29)=1,OR($O29=1,$P29=1,$Q29=1,$R29=1,$S29=1,$T29=1)),INT($V29),"x")</f>
        <v>20</v>
      </c>
      <c r="AF29" s="63">
        <f>IF(AE29="x","",IF(AE29=SMALL($AE$22:$AE$76,1),AE29,""))</f>
      </c>
      <c r="AG29" s="62">
        <f>IF(AND(COUNT($V29)=1,OR($O29=2,$P29=2,$Q29=2,$R29=2,$S29=2,$T29=2)),INT($V29),"x")</f>
        <v>20</v>
      </c>
      <c r="AH29" s="63">
        <f>IF(AG29="x","",IF(AG29=SMALL($AG$22:$AG$76,1),AG29,""))</f>
      </c>
      <c r="AI29" s="62">
        <f>IF(AND(COUNT($V29)=1,OR($O29=3,$P29=3,$Q29=3,$R29=3,$S29=3,$T29=3)),INT($V29),"x")</f>
        <v>20</v>
      </c>
      <c r="AJ29" s="63">
        <f>IF(AI29="x","",IF(AI29=SMALL($AI$22:$AI$76,1),AI29,""))</f>
      </c>
      <c r="AK29" s="62">
        <f>IF(AND(COUNT($V29)=1,OR($O29=4,$P29=4,$Q29=4,$R29=4,$S29=4,$T29=4)),INT($V29),"x")</f>
        <v>20</v>
      </c>
      <c r="AL29" s="63">
        <f>IF(AK29="x","",IF(AK29=SMALL($AK$22:$AK$76,1),AK29,""))</f>
        <v>20</v>
      </c>
      <c r="AM29" s="62" t="str">
        <f>IF(AND(COUNT($V29)=1,OR($O29=5,$P29=5,$Q29=5,$R29=5,$S29=5,$T29=5)),INT($V29),"x")</f>
        <v>x</v>
      </c>
      <c r="AN29" s="63">
        <f>IF(AM29="x","",IF(AM29=SMALL($AM$22:$AM$76,1),AM29,""))</f>
      </c>
      <c r="AO29" s="62" t="str">
        <f>IF(AND(COUNT($V29)=1,OR($O29=6,$P29=6,$Q29=6,$R29=6,$S29=6,$T29=6)),INT($V29),"x")</f>
        <v>x</v>
      </c>
      <c r="AP29" s="63">
        <f>IF(AO29="x","",IF(AO29=SMALL($AO$22:$AO$76,1),AO29,""))</f>
      </c>
      <c r="AQ29" s="64"/>
      <c r="AR29" s="32"/>
    </row>
    <row r="30" spans="1:44" ht="15" customHeight="1">
      <c r="A30" s="366"/>
      <c r="B30" s="32"/>
      <c r="C30" s="367"/>
      <c r="D30" s="32"/>
      <c r="E30" s="489"/>
      <c r="F30" s="59" t="str">
        <f>IF(RR4!M10="blauw",VLOOKUP("Blauw / Bleu",'[1]Strings'!$A$3:$K$102,'[1]Strings'!$A$1,FALSE),"")</f>
        <v>Blau</v>
      </c>
      <c r="H30" s="490">
        <f>IF(OR(U29="x",Y29="x",AA29="x"),"CONTROLEER INVOER       HEAT 1",IF(OR(U30="x",Y30="x",AA30="x"),"CONTROLEER INVOER       HEAT 2",IF(OR(U31="x",Y31="x",AA31="x"),"CONTROLEER INVOER       HEAT 3",IF(OR(U32="x",Y32="x",AA32="x"),"CONTROLEER INVOER       HEAT 4",IF(OR(U33="x",Y33="x",AA33="x"),"CONTROLEER INVOER       HEAT 5","")))))</f>
      </c>
      <c r="I30" s="490"/>
      <c r="J30" s="490"/>
      <c r="K30" s="490"/>
      <c r="L30" s="490"/>
      <c r="M30" s="491">
        <v>2</v>
      </c>
      <c r="N30" s="492"/>
      <c r="O30" s="12">
        <v>1</v>
      </c>
      <c r="P30" s="12">
        <v>2</v>
      </c>
      <c r="Q30" s="12">
        <v>3</v>
      </c>
      <c r="R30" s="12">
        <v>4</v>
      </c>
      <c r="S30" s="468"/>
      <c r="T30" s="469"/>
      <c r="U30" s="61">
        <f>IF(V30="","",IF(COUNT(O30:T30)&lt;&gt;4,"X",""))</f>
      </c>
      <c r="V30" s="480" t="s">
        <v>2993</v>
      </c>
      <c r="W30" s="481"/>
      <c r="X30" s="481"/>
      <c r="Y30" s="61">
        <f>IF($V30="","",IF($R$3&gt;$V30,"X",""))</f>
      </c>
      <c r="Z30" s="12" t="s">
        <v>2994</v>
      </c>
      <c r="AA30" s="11">
        <f>IF(OR(AND(V30="",Z30&lt;&gt;""),AND(V30&lt;&gt;"",Z30=""),AND(V30="w",Z30&lt;&gt;"w"),AND(V30="nt",Z30="w"),RR4!N12="x"),"x","")</f>
      </c>
      <c r="AB30" s="61"/>
      <c r="AC30" s="61"/>
      <c r="AE30" s="62" t="str">
        <f>IF(AND(COUNT($V30)=1,OR($O30=1,$P30=1,$Q30=1,$R30=1,$S30=1,$T30=1)),INT($V30),"x")</f>
        <v>x</v>
      </c>
      <c r="AF30" s="63">
        <f>IF(AE30="x","",IF(AE30=SMALL($AE$22:$AE$76,1),AE30,""))</f>
      </c>
      <c r="AG30" s="62" t="str">
        <f>IF(AND(COUNT($V30)=1,OR($O30=2,$P30=2,$Q30=2,$R30=2,$S30=2,$T30=2)),INT($V30),"x")</f>
        <v>x</v>
      </c>
      <c r="AH30" s="63">
        <f>IF(AG30="x","",IF(AG30=SMALL($AG$22:$AG$76,1),AG30,""))</f>
      </c>
      <c r="AI30" s="62" t="str">
        <f>IF(AND(COUNT($V30)=1,OR($O30=3,$P30=3,$Q30=3,$R30=3,$S30=3,$T30=3)),INT($V30),"x")</f>
        <v>x</v>
      </c>
      <c r="AJ30" s="63">
        <f>IF(AI30="x","",IF(AI30=SMALL($AI$22:$AI$76,1),AI30,""))</f>
      </c>
      <c r="AK30" s="62" t="str">
        <f>IF(AND(COUNT($V30)=1,OR($O30=4,$P30=4,$Q30=4,$R30=4,$S30=4,$T30=4)),INT($V30),"x")</f>
        <v>x</v>
      </c>
      <c r="AL30" s="63">
        <f>IF(AK30="x","",IF(AK30=SMALL($AK$22:$AK$76,1),AK30,""))</f>
      </c>
      <c r="AM30" s="62" t="str">
        <f>IF(AND(COUNT($V30)=1,OR($O30=5,$P30=5,$Q30=5,$R30=5,$S30=5,$T30=5)),INT($V30),"x")</f>
        <v>x</v>
      </c>
      <c r="AN30" s="63">
        <f>IF(AM30="x","",IF(AM30=SMALL($AM$22:$AM$76,1),AM30,""))</f>
      </c>
      <c r="AO30" s="62" t="str">
        <f>IF(AND(COUNT($V30)=1,OR($O30=6,$P30=6,$Q30=6,$R30=6,$S30=6,$T30=6)),INT($V30),"x")</f>
        <v>x</v>
      </c>
      <c r="AP30" s="63">
        <f>IF(AO30="x","",IF(AO30=SMALL($AO$22:$AO$76,1),AO30,""))</f>
      </c>
      <c r="AQ30" s="64"/>
      <c r="AR30" s="32"/>
    </row>
    <row r="31" spans="1:44" ht="15" customHeight="1">
      <c r="A31" s="366"/>
      <c r="B31" s="32"/>
      <c r="C31" s="367"/>
      <c r="D31" s="32"/>
      <c r="E31" s="2" t="str">
        <f>uitslagen!$B$2</f>
        <v>RR</v>
      </c>
      <c r="H31" s="490"/>
      <c r="I31" s="490"/>
      <c r="J31" s="490"/>
      <c r="K31" s="490"/>
      <c r="L31" s="490"/>
      <c r="M31" s="491">
        <v>3</v>
      </c>
      <c r="N31" s="492"/>
      <c r="O31" s="12">
        <v>1</v>
      </c>
      <c r="P31" s="12">
        <v>2</v>
      </c>
      <c r="Q31" s="12">
        <v>3</v>
      </c>
      <c r="R31" s="12">
        <v>4</v>
      </c>
      <c r="S31" s="468"/>
      <c r="T31" s="469"/>
      <c r="U31" s="61">
        <f>IF(V31="","",IF(COUNT(O31:T31)&lt;&gt;4,"X",""))</f>
      </c>
      <c r="V31" s="480">
        <v>20.54</v>
      </c>
      <c r="W31" s="481"/>
      <c r="X31" s="481"/>
      <c r="Y31" s="61">
        <f>IF($V31="","",IF($R$3&gt;$V31,"X",""))</f>
      </c>
      <c r="Z31" s="12" t="s">
        <v>2992</v>
      </c>
      <c r="AA31" s="11">
        <f>IF(OR(AND(V31="",Z31&lt;&gt;""),AND(V31&lt;&gt;"",Z31=""),AND(V31="w",Z31&lt;&gt;"w"),AND(V31="nt",Z31="w"),RR4!N13="x"),"x","")</f>
      </c>
      <c r="AB31" s="61"/>
      <c r="AC31" s="61"/>
      <c r="AE31" s="62">
        <f>IF(AND(COUNT($V31)=1,OR($O31=1,$P31=1,$Q31=1,$R31=1,$S31=1,$T31=1)),INT($V31),"x")</f>
        <v>20</v>
      </c>
      <c r="AF31" s="63">
        <f>IF(AE31="x","",IF(AE31=SMALL($AE$22:$AE$76,1),AE31,""))</f>
      </c>
      <c r="AG31" s="62">
        <f>IF(AND(COUNT($V31)=1,OR($O31=2,$P31=2,$Q31=2,$R31=2,$S31=2,$T31=2)),INT($V31),"x")</f>
        <v>20</v>
      </c>
      <c r="AH31" s="63">
        <f>IF(AG31="x","",IF(AG31=SMALL($AG$22:$AG$76,1),AG31,""))</f>
      </c>
      <c r="AI31" s="62">
        <f>IF(AND(COUNT($V31)=1,OR($O31=3,$P31=3,$Q31=3,$R31=3,$S31=3,$T31=3)),INT($V31),"x")</f>
        <v>20</v>
      </c>
      <c r="AJ31" s="63">
        <f>IF(AI31="x","",IF(AI31=SMALL($AI$22:$AI$76,1),AI31,""))</f>
      </c>
      <c r="AK31" s="62">
        <f>IF(AND(COUNT($V31)=1,OR($O31=4,$P31=4,$Q31=4,$R31=4,$S31=4,$T31=4)),INT($V31),"x")</f>
        <v>20</v>
      </c>
      <c r="AL31" s="63">
        <f>IF(AK31="x","",IF(AK31=SMALL($AK$22:$AK$76,1),AK31,""))</f>
        <v>20</v>
      </c>
      <c r="AM31" s="62" t="str">
        <f>IF(AND(COUNT($V31)=1,OR($O31=5,$P31=5,$Q31=5,$R31=5,$S31=5,$T31=5)),INT($V31),"x")</f>
        <v>x</v>
      </c>
      <c r="AN31" s="63">
        <f>IF(AM31="x","",IF(AM31=SMALL($AM$22:$AM$76,1),AM31,""))</f>
      </c>
      <c r="AO31" s="62" t="str">
        <f>IF(AND(COUNT($V31)=1,OR($O31=6,$P31=6,$Q31=6,$R31=6,$S31=6,$T31=6)),INT($V31),"x")</f>
        <v>x</v>
      </c>
      <c r="AP31" s="63">
        <f>IF(AO31="x","",IF(AO31=SMALL($AO$22:$AO$76,1),AO31,""))</f>
      </c>
      <c r="AQ31" s="64"/>
      <c r="AR31" s="32"/>
    </row>
    <row r="32" spans="1:44" ht="15" customHeight="1">
      <c r="A32" s="366"/>
      <c r="B32" s="32"/>
      <c r="C32" s="367"/>
      <c r="D32" s="32"/>
      <c r="H32" s="490"/>
      <c r="I32" s="490"/>
      <c r="J32" s="490"/>
      <c r="K32" s="490"/>
      <c r="L32" s="490"/>
      <c r="M32" s="491">
        <v>4</v>
      </c>
      <c r="N32" s="492"/>
      <c r="O32" s="12">
        <v>1</v>
      </c>
      <c r="P32" s="12">
        <v>2</v>
      </c>
      <c r="Q32" s="12">
        <v>3</v>
      </c>
      <c r="R32" s="12">
        <v>4</v>
      </c>
      <c r="S32" s="468"/>
      <c r="T32" s="469"/>
      <c r="U32" s="61">
        <f>IF(V32="","",IF(COUNT(O32:T32)&lt;&gt;4,"X",""))</f>
      </c>
      <c r="V32" s="480">
        <v>20.29</v>
      </c>
      <c r="W32" s="481"/>
      <c r="X32" s="481"/>
      <c r="Y32" s="61">
        <f>IF($V32="","",IF($R$3&gt;$V32,"X",""))</f>
      </c>
      <c r="Z32" s="12" t="s">
        <v>2992</v>
      </c>
      <c r="AA32" s="11">
        <f>IF(OR(AND(V32="",Z32&lt;&gt;""),AND(V32&lt;&gt;"",Z32=""),AND(V32="w",Z32&lt;&gt;"w"),AND(V32="nt",Z32="w"),RR4!N14="x"),"x","")</f>
      </c>
      <c r="AB32" s="61"/>
      <c r="AC32" s="61"/>
      <c r="AE32" s="62">
        <f>IF(AND(COUNT($V32)=1,OR($O32=1,$P32=1,$Q32=1,$R32=1,$S32=1,$T32=1)),INT($V32),"x")</f>
        <v>20</v>
      </c>
      <c r="AF32" s="63">
        <f>IF(AE32="x","",IF(AE32=SMALL($AE$22:$AE$76,1),AE32,""))</f>
      </c>
      <c r="AG32" s="62">
        <f>IF(AND(COUNT($V32)=1,OR($O32=2,$P32=2,$Q32=2,$R32=2,$S32=2,$T32=2)),INT($V32),"x")</f>
        <v>20</v>
      </c>
      <c r="AH32" s="63">
        <f>IF(AG32="x","",IF(AG32=SMALL($AG$22:$AG$76,1),AG32,""))</f>
      </c>
      <c r="AI32" s="62">
        <f>IF(AND(COUNT($V32)=1,OR($O32=3,$P32=3,$Q32=3,$R32=3,$S32=3,$T32=3)),INT($V32),"x")</f>
        <v>20</v>
      </c>
      <c r="AJ32" s="63">
        <f>IF(AI32="x","",IF(AI32=SMALL($AI$22:$AI$76,1),AI32,""))</f>
      </c>
      <c r="AK32" s="62">
        <f>IF(AND(COUNT($V32)=1,OR($O32=4,$P32=4,$Q32=4,$R32=4,$S32=4,$T32=4)),INT($V32),"x")</f>
        <v>20</v>
      </c>
      <c r="AL32" s="63">
        <f>IF(AK32="x","",IF(AK32=SMALL($AK$22:$AK$76,1),AK32,""))</f>
        <v>20</v>
      </c>
      <c r="AM32" s="62" t="str">
        <f>IF(AND(COUNT($V32)=1,OR($O32=5,$P32=5,$Q32=5,$R32=5,$S32=5,$T32=5)),INT($V32),"x")</f>
        <v>x</v>
      </c>
      <c r="AN32" s="63">
        <f>IF(AM32="x","",IF(AM32=SMALL($AM$22:$AM$76,1),AM32,""))</f>
      </c>
      <c r="AO32" s="62" t="str">
        <f>IF(AND(COUNT($V32)=1,OR($O32=6,$P32=6,$Q32=6,$R32=6,$S32=6,$T32=6)),INT($V32),"x")</f>
        <v>x</v>
      </c>
      <c r="AP32" s="63">
        <f>IF(AO32="x","",IF(AO32=SMALL($AO$22:$AO$76,1),AO32,""))</f>
      </c>
      <c r="AQ32" s="64"/>
      <c r="AR32" s="32"/>
    </row>
    <row r="33" spans="1:44" ht="15" customHeight="1">
      <c r="A33" s="366"/>
      <c r="B33" s="32"/>
      <c r="C33" s="367"/>
      <c r="D33" s="32"/>
      <c r="H33" s="490"/>
      <c r="I33" s="490"/>
      <c r="J33" s="490"/>
      <c r="K33" s="490"/>
      <c r="L33" s="490"/>
      <c r="M33" s="491">
        <v>5</v>
      </c>
      <c r="N33" s="492"/>
      <c r="O33" s="12"/>
      <c r="P33" s="12"/>
      <c r="Q33" s="12"/>
      <c r="R33" s="12"/>
      <c r="S33" s="468"/>
      <c r="T33" s="469"/>
      <c r="U33" s="61">
        <f>IF(V33="","",IF(COUNT(O33:T33)&lt;&gt;4,"X",""))</f>
      </c>
      <c r="V33" s="480"/>
      <c r="W33" s="481"/>
      <c r="X33" s="481"/>
      <c r="Y33" s="61">
        <f>IF($V33="","",IF($R$3&gt;$V33,"X",""))</f>
      </c>
      <c r="Z33" s="12"/>
      <c r="AA33" s="11">
        <f>IF(OR(AND(V33="",Z33&lt;&gt;""),AND(V33&lt;&gt;"",Z33=""),AND(V33="w",Z33&lt;&gt;"w"),AND(V33="nt",Z33="w"),RR4!N15="x"),"x","")</f>
      </c>
      <c r="AB33" s="61"/>
      <c r="AC33" s="61"/>
      <c r="AE33" s="65" t="str">
        <f>IF(AND(COUNT($V33)=1,OR($O33=1,$P33=1,$Q33=1,$R33=1,$S33=1,$T33=1)),INT($V33),"x")</f>
        <v>x</v>
      </c>
      <c r="AF33" s="66">
        <f>IF(AE33="x","",IF(AE33=SMALL($AE$22:$AE$76,1),AE33,""))</f>
      </c>
      <c r="AG33" s="65" t="str">
        <f>IF(AND(COUNT($V33)=1,OR($O33=2,$P33=2,$Q33=2,$R33=2,$S33=2,$T33=2)),INT($V33),"x")</f>
        <v>x</v>
      </c>
      <c r="AH33" s="63">
        <f>IF(AG33="x","",IF(AG33=SMALL($AG$22:$AG$76,1),AG33,""))</f>
      </c>
      <c r="AI33" s="65" t="str">
        <f>IF(AND(COUNT($V33)=1,OR($O33=3,$P33=3,$Q33=3,$R33=3,$S33=3,$T33=3)),INT($V33),"x")</f>
        <v>x</v>
      </c>
      <c r="AJ33" s="63">
        <f>IF(AI33="x","",IF(AI33=SMALL($AI$22:$AI$76,1),AI33,""))</f>
      </c>
      <c r="AK33" s="65" t="str">
        <f>IF(AND(COUNT($V33)=1,OR($O33=4,$P33=4,$Q33=4,$R33=4,$S33=4,$T33=4)),INT($V33),"x")</f>
        <v>x</v>
      </c>
      <c r="AL33" s="63">
        <f>IF(AK33="x","",IF(AK33=SMALL($AK$22:$AK$76,1),AK33,""))</f>
      </c>
      <c r="AM33" s="65" t="str">
        <f>IF(AND(COUNT($V33)=1,OR($O33=5,$P33=5,$Q33=5,$R33=5,$S33=5,$T33=5)),INT($V33),"x")</f>
        <v>x</v>
      </c>
      <c r="AN33" s="63">
        <f>IF(AM33="x","",IF(AM33=SMALL($AM$22:$AM$76,1),AM33,""))</f>
      </c>
      <c r="AO33" s="65" t="str">
        <f>IF(AND(COUNT($V33)=1,OR($O33=6,$P33=6,$Q33=6,$R33=6,$S33=6,$T33=6)),INT($V33),"x")</f>
        <v>x</v>
      </c>
      <c r="AP33" s="63">
        <f>IF(AO33="x","",IF(AO33=SMALL($AO$22:$AO$76,1),AO33,""))</f>
      </c>
      <c r="AQ33" s="64"/>
      <c r="AR33" s="32"/>
    </row>
    <row r="34" spans="1:42" ht="3.75" customHeight="1">
      <c r="A34" s="366"/>
      <c r="B34" s="32"/>
      <c r="C34" s="3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487"/>
      <c r="W34" s="487"/>
      <c r="X34" s="487"/>
      <c r="Y34" s="67"/>
      <c r="Z34" s="76"/>
      <c r="AA34" s="68"/>
      <c r="AB34" s="61"/>
      <c r="AC34" s="61"/>
      <c r="AE34" s="69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4" ht="15" customHeight="1">
      <c r="A35" s="366"/>
      <c r="B35" s="32"/>
      <c r="C35" s="367"/>
      <c r="D35" s="32"/>
      <c r="E35" s="55" t="str">
        <f>VLOOKUP("race",'[1]Strings'!$A$3:$K$102,'[1]Strings'!$A$1,FALSE)</f>
        <v>Rennen</v>
      </c>
      <c r="F35" s="55" t="str">
        <f>VLOOKUP("baan / piste",'[1]Strings'!$A$3:$K$102,'[1]Strings'!$A$1,FALSE)</f>
        <v>Bahn</v>
      </c>
      <c r="G35" s="55"/>
      <c r="H35" s="476" t="str">
        <f>VLOOKUP("tegen / contre",'[1]Strings'!$A$3:$K$102,'[1]Strings'!$A$1,FALSE)</f>
        <v>gegen</v>
      </c>
      <c r="I35" s="476"/>
      <c r="J35" s="476"/>
      <c r="K35" s="476"/>
      <c r="L35" s="477"/>
      <c r="M35" s="477" t="str">
        <f>VLOOKUP("heat",'[1]Strings'!$A$3:$K$102,'[1]Strings'!$A$1,FALSE)</f>
        <v>Lauf</v>
      </c>
      <c r="N35" s="477"/>
      <c r="O35" s="476" t="str">
        <f>VLOOKUP("Honden / chiens",'[1]Strings'!$A$3:$K$102,'[1]Strings'!$A$1,FALSE)</f>
        <v>Hunde</v>
      </c>
      <c r="P35" s="476"/>
      <c r="Q35" s="476"/>
      <c r="R35" s="476"/>
      <c r="S35" s="476"/>
      <c r="T35" s="476"/>
      <c r="U35" s="162" t="str">
        <f>VLOOKUP("          Tijd/temps",'[1]Strings'!$A$3:$K$102,'[1]Strings'!$A$1,FALSE)</f>
        <v>           Zeit</v>
      </c>
      <c r="V35" s="163"/>
      <c r="W35" s="163"/>
      <c r="X35" s="163"/>
      <c r="Y35" s="161" t="str">
        <f>VLOOKUP("    W / L / T",'[1]Strings'!$A$3:$K$102,'[1]Strings'!$A$1,FALSE)</f>
        <v>    W/L/T</v>
      </c>
      <c r="Z35" s="55"/>
      <c r="AA35" s="68"/>
      <c r="AB35" s="61"/>
      <c r="AC35" s="61"/>
      <c r="AD35" s="55"/>
      <c r="AE35" s="70"/>
      <c r="AF35" s="67"/>
      <c r="AG35" s="70"/>
      <c r="AH35" s="67"/>
      <c r="AI35" s="70"/>
      <c r="AJ35" s="67"/>
      <c r="AK35" s="70"/>
      <c r="AL35" s="67"/>
      <c r="AM35" s="70"/>
      <c r="AN35" s="67"/>
      <c r="AO35" s="70"/>
      <c r="AP35" s="67"/>
      <c r="AQ35" s="565"/>
      <c r="AR35" s="478"/>
    </row>
    <row r="36" spans="1:44" ht="15" customHeight="1">
      <c r="A36" s="366"/>
      <c r="B36" s="32"/>
      <c r="C36" s="367"/>
      <c r="D36" s="32"/>
      <c r="E36" s="488">
        <f>RR4!K17</f>
        <v>5</v>
      </c>
      <c r="F36" s="59" t="str">
        <f>IF(RR4!M17="rood",VLOOKUP("Rood / Rouge",'[1]Strings'!$A$3:$K$102,'[1]Strings'!$A$1,FALSE),"")</f>
        <v>Rot</v>
      </c>
      <c r="H36" s="478" t="str">
        <f>VLOOKUP(E36&amp;$C$3,RR4!$U$5:$AV$33,28,FALSE)</f>
        <v>Fast'nFurious Flyballteam</v>
      </c>
      <c r="I36" s="478"/>
      <c r="J36" s="478"/>
      <c r="K36" s="478"/>
      <c r="L36" s="479"/>
      <c r="M36" s="491">
        <v>1</v>
      </c>
      <c r="N36" s="492"/>
      <c r="O36" s="12">
        <v>5</v>
      </c>
      <c r="P36" s="12">
        <v>1</v>
      </c>
      <c r="Q36" s="12">
        <v>2</v>
      </c>
      <c r="R36" s="12">
        <v>3</v>
      </c>
      <c r="S36" s="468"/>
      <c r="T36" s="469"/>
      <c r="U36" s="61">
        <f>IF(V36="","",IF(COUNT(O36:T36)&lt;&gt;4,"X",""))</f>
      </c>
      <c r="V36" s="480">
        <v>99.99</v>
      </c>
      <c r="W36" s="481"/>
      <c r="X36" s="481"/>
      <c r="Y36" s="61">
        <f>IF($V36="","",IF($R$3&gt;$V36,"X",""))</f>
      </c>
      <c r="Z36" s="12" t="s">
        <v>2994</v>
      </c>
      <c r="AA36" s="11">
        <f>IF(OR(AND(V36="",Z36&lt;&gt;""),AND(V36&lt;&gt;"",Z36=""),AND(V36="w",Z36&lt;&gt;"w"),AND(V36="nt",Z36="w"),RR4!N18="x"),"x","")</f>
      </c>
      <c r="AB36" s="61"/>
      <c r="AC36" s="61"/>
      <c r="AE36" s="62">
        <f>IF(AND(COUNT($V36)=1,OR($O36=1,$P36=1,$Q36=1,$R36=1,$S36=1,$T36=1)),INT($V36),"x")</f>
        <v>99</v>
      </c>
      <c r="AF36" s="63">
        <f>IF(AE36="x","",IF(AE36=SMALL($AE$22:$AE$76,1),AE36,""))</f>
      </c>
      <c r="AG36" s="62">
        <f>IF(AND(COUNT($V36)=1,OR($O36=2,$P36=2,$Q36=2,$R36=2,$S36=2,$T36=2)),INT($V36),"x")</f>
        <v>99</v>
      </c>
      <c r="AH36" s="63">
        <f>IF(AG36="x","",IF(AG36=SMALL($AG$22:$AG$76,1),AG36,""))</f>
      </c>
      <c r="AI36" s="62">
        <f>IF(AND(COUNT($V36)=1,OR($O36=3,$P36=3,$Q36=3,$R36=3,$S36=3,$T36=3)),INT($V36),"x")</f>
        <v>99</v>
      </c>
      <c r="AJ36" s="63">
        <f>IF(AI36="x","",IF(AI36=SMALL($AI$22:$AI$76,1),AI36,""))</f>
      </c>
      <c r="AK36" s="62" t="str">
        <f>IF(AND(COUNT($V36)=1,OR($O36=4,$P36=4,$Q36=4,$R36=4,$S36=4,$T36=4)),INT($V36),"x")</f>
        <v>x</v>
      </c>
      <c r="AL36" s="63">
        <f>IF(AK36="x","",IF(AK36=SMALL($AK$22:$AK$76,1),AK36,""))</f>
      </c>
      <c r="AM36" s="62">
        <f>IF(AND(COUNT($V36)=1,OR($O36=5,$P36=5,$Q36=5,$R36=5,$S36=5,$T36=5)),INT($V36),"x")</f>
        <v>99</v>
      </c>
      <c r="AN36" s="63">
        <f>IF(AM36="x","",IF(AM36=SMALL($AM$22:$AM$76,1),AM36,""))</f>
      </c>
      <c r="AO36" s="62" t="str">
        <f>IF(AND(COUNT($V36)=1,OR($O36=6,$P36=6,$Q36=6,$R36=6,$S36=6,$T36=6)),INT($V36),"x")</f>
        <v>x</v>
      </c>
      <c r="AP36" s="63">
        <f>IF(AO36="x","",IF(AO36=SMALL($AO$22:$AO$76,1),AO36,""))</f>
      </c>
      <c r="AQ36" s="64"/>
      <c r="AR36" s="32"/>
    </row>
    <row r="37" spans="1:44" ht="15" customHeight="1">
      <c r="A37" s="366"/>
      <c r="B37" s="32"/>
      <c r="C37" s="367"/>
      <c r="D37" s="32"/>
      <c r="E37" s="489"/>
      <c r="F37" s="59">
        <f>IF(RR4!M17="blauw",VLOOKUP("Blauw / Bleu",'[1]Strings'!$A$3:$K$102,'[1]Strings'!$A$1,FALSE),"")</f>
      </c>
      <c r="H37" s="490">
        <f>IF(OR(U36="x",Y36="x",AA36="x"),"CONTROLEER INVOER       HEAT 1",IF(OR(U37="x",Y37="x",AA37="x"),"CONTROLEER INVOER       HEAT 2",IF(OR(U38="x",Y38="x",AA38="x"),"CONTROLEER INVOER       HEAT 3",IF(OR(U39="x",Y39="x",AA39="x"),"CONTROLEER INVOER       HEAT 4",IF(OR(U40="x",Y40="x",AA40="x"),"CONTROLEER INVOER       HEAT 5","")))))</f>
      </c>
      <c r="I37" s="490"/>
      <c r="J37" s="490"/>
      <c r="K37" s="490"/>
      <c r="L37" s="490"/>
      <c r="M37" s="491">
        <v>2</v>
      </c>
      <c r="N37" s="492"/>
      <c r="O37" s="12">
        <v>5</v>
      </c>
      <c r="P37" s="12">
        <v>1</v>
      </c>
      <c r="Q37" s="12">
        <v>2</v>
      </c>
      <c r="R37" s="12">
        <v>3</v>
      </c>
      <c r="S37" s="468"/>
      <c r="T37" s="469"/>
      <c r="U37" s="61">
        <f>IF(V37="","",IF(COUNT(O37:T37)&lt;&gt;4,"X",""))</f>
      </c>
      <c r="V37" s="480">
        <v>19.75</v>
      </c>
      <c r="W37" s="481"/>
      <c r="X37" s="481"/>
      <c r="Y37" s="61">
        <f>IF($V37="","",IF($R$3&gt;$V37,"X",""))</f>
      </c>
      <c r="Z37" s="12" t="s">
        <v>2992</v>
      </c>
      <c r="AA37" s="11">
        <f>IF(OR(AND(V37="",Z37&lt;&gt;""),AND(V37&lt;&gt;"",Z37=""),AND(V37="w",Z37&lt;&gt;"w"),AND(V37="nt",Z37="w"),RR4!N19="x"),"x","")</f>
      </c>
      <c r="AB37" s="61"/>
      <c r="AC37" s="61"/>
      <c r="AE37" s="62">
        <f>IF(AND(COUNT($V37)=1,OR($O37=1,$P37=1,$Q37=1,$R37=1,$S37=1,$T37=1)),INT($V37),"x")</f>
        <v>19</v>
      </c>
      <c r="AF37" s="63">
        <f>IF(AE37="x","",IF(AE37=SMALL($AE$22:$AE$76,1),AE37,""))</f>
        <v>19</v>
      </c>
      <c r="AG37" s="62">
        <f>IF(AND(COUNT($V37)=1,OR($O37=2,$P37=2,$Q37=2,$R37=2,$S37=2,$T37=2)),INT($V37),"x")</f>
        <v>19</v>
      </c>
      <c r="AH37" s="63">
        <f>IF(AG37="x","",IF(AG37=SMALL($AG$22:$AG$76,1),AG37,""))</f>
        <v>19</v>
      </c>
      <c r="AI37" s="62">
        <f>IF(AND(COUNT($V37)=1,OR($O37=3,$P37=3,$Q37=3,$R37=3,$S37=3,$T37=3)),INT($V37),"x")</f>
        <v>19</v>
      </c>
      <c r="AJ37" s="63">
        <f>IF(AI37="x","",IF(AI37=SMALL($AI$22:$AI$76,1),AI37,""))</f>
        <v>19</v>
      </c>
      <c r="AK37" s="62" t="str">
        <f>IF(AND(COUNT($V37)=1,OR($O37=4,$P37=4,$Q37=4,$R37=4,$S37=4,$T37=4)),INT($V37),"x")</f>
        <v>x</v>
      </c>
      <c r="AL37" s="63">
        <f>IF(AK37="x","",IF(AK37=SMALL($AK$22:$AK$76,1),AK37,""))</f>
      </c>
      <c r="AM37" s="62">
        <f>IF(AND(COUNT($V37)=1,OR($O37=5,$P37=5,$Q37=5,$R37=5,$S37=5,$T37=5)),INT($V37),"x")</f>
        <v>19</v>
      </c>
      <c r="AN37" s="63">
        <f>IF(AM37="x","",IF(AM37=SMALL($AM$22:$AM$76,1),AM37,""))</f>
        <v>19</v>
      </c>
      <c r="AO37" s="62" t="str">
        <f>IF(AND(COUNT($V37)=1,OR($O37=6,$P37=6,$Q37=6,$R37=6,$S37=6,$T37=6)),INT($V37),"x")</f>
        <v>x</v>
      </c>
      <c r="AP37" s="63">
        <f>IF(AO37="x","",IF(AO37=SMALL($AO$22:$AO$76,1),AO37,""))</f>
      </c>
      <c r="AQ37" s="64"/>
      <c r="AR37" s="32"/>
    </row>
    <row r="38" spans="1:44" ht="15" customHeight="1">
      <c r="A38" s="366"/>
      <c r="B38" s="32"/>
      <c r="C38" s="367"/>
      <c r="D38" s="32"/>
      <c r="E38" s="2" t="str">
        <f>uitslagen!$B$2</f>
        <v>RR</v>
      </c>
      <c r="H38" s="490"/>
      <c r="I38" s="490"/>
      <c r="J38" s="490"/>
      <c r="K38" s="490"/>
      <c r="L38" s="490"/>
      <c r="M38" s="491">
        <v>3</v>
      </c>
      <c r="N38" s="492"/>
      <c r="O38" s="12">
        <v>5</v>
      </c>
      <c r="P38" s="12">
        <v>1</v>
      </c>
      <c r="Q38" s="12">
        <v>2</v>
      </c>
      <c r="R38" s="12">
        <v>3</v>
      </c>
      <c r="S38" s="468"/>
      <c r="T38" s="469"/>
      <c r="U38" s="61">
        <f>IF(V38="","",IF(COUNT(O38:T38)&lt;&gt;4,"X",""))</f>
      </c>
      <c r="V38" s="480">
        <v>20.22</v>
      </c>
      <c r="W38" s="481"/>
      <c r="X38" s="481"/>
      <c r="Y38" s="61">
        <f>IF($V38="","",IF($R$3&gt;$V38,"X",""))</f>
      </c>
      <c r="Z38" s="12" t="s">
        <v>2992</v>
      </c>
      <c r="AA38" s="11">
        <f>IF(OR(AND(V38="",Z38&lt;&gt;""),AND(V38&lt;&gt;"",Z38=""),AND(V38="w",Z38&lt;&gt;"w"),AND(V38="nt",Z38="w"),RR4!N20="x"),"x","")</f>
      </c>
      <c r="AB38" s="61"/>
      <c r="AC38" s="61"/>
      <c r="AE38" s="62">
        <f>IF(AND(COUNT($V38)=1,OR($O38=1,$P38=1,$Q38=1,$R38=1,$S38=1,$T38=1)),INT($V38),"x")</f>
        <v>20</v>
      </c>
      <c r="AF38" s="63">
        <f>IF(AE38="x","",IF(AE38=SMALL($AE$22:$AE$76,1),AE38,""))</f>
      </c>
      <c r="AG38" s="62">
        <f>IF(AND(COUNT($V38)=1,OR($O38=2,$P38=2,$Q38=2,$R38=2,$S38=2,$T38=2)),INT($V38),"x")</f>
        <v>20</v>
      </c>
      <c r="AH38" s="63">
        <f>IF(AG38="x","",IF(AG38=SMALL($AG$22:$AG$76,1),AG38,""))</f>
      </c>
      <c r="AI38" s="62">
        <f>IF(AND(COUNT($V38)=1,OR($O38=3,$P38=3,$Q38=3,$R38=3,$S38=3,$T38=3)),INT($V38),"x")</f>
        <v>20</v>
      </c>
      <c r="AJ38" s="63">
        <f>IF(AI38="x","",IF(AI38=SMALL($AI$22:$AI$76,1),AI38,""))</f>
      </c>
      <c r="AK38" s="62" t="str">
        <f>IF(AND(COUNT($V38)=1,OR($O38=4,$P38=4,$Q38=4,$R38=4,$S38=4,$T38=4)),INT($V38),"x")</f>
        <v>x</v>
      </c>
      <c r="AL38" s="63">
        <f>IF(AK38="x","",IF(AK38=SMALL($AK$22:$AK$76,1),AK38,""))</f>
      </c>
      <c r="AM38" s="62">
        <f>IF(AND(COUNT($V38)=1,OR($O38=5,$P38=5,$Q38=5,$R38=5,$S38=5,$T38=5)),INT($V38),"x")</f>
        <v>20</v>
      </c>
      <c r="AN38" s="63">
        <f>IF(AM38="x","",IF(AM38=SMALL($AM$22:$AM$76,1),AM38,""))</f>
      </c>
      <c r="AO38" s="62" t="str">
        <f>IF(AND(COUNT($V38)=1,OR($O38=6,$P38=6,$Q38=6,$R38=6,$S38=6,$T38=6)),INT($V38),"x")</f>
        <v>x</v>
      </c>
      <c r="AP38" s="63">
        <f>IF(AO38="x","",IF(AO38=SMALL($AO$22:$AO$76,1),AO38,""))</f>
      </c>
      <c r="AQ38" s="64"/>
      <c r="AR38" s="32"/>
    </row>
    <row r="39" spans="1:44" ht="15" customHeight="1">
      <c r="A39" s="366"/>
      <c r="B39" s="32"/>
      <c r="C39" s="367"/>
      <c r="D39" s="32"/>
      <c r="H39" s="490"/>
      <c r="I39" s="490"/>
      <c r="J39" s="490"/>
      <c r="K39" s="490"/>
      <c r="L39" s="490"/>
      <c r="M39" s="491">
        <v>4</v>
      </c>
      <c r="N39" s="492"/>
      <c r="O39" s="12">
        <v>5</v>
      </c>
      <c r="P39" s="12">
        <v>1</v>
      </c>
      <c r="Q39" s="12">
        <v>2</v>
      </c>
      <c r="R39" s="12">
        <v>3</v>
      </c>
      <c r="S39" s="468"/>
      <c r="T39" s="469"/>
      <c r="U39" s="61">
        <f>IF(V39="","",IF(COUNT(O39:T39)&lt;&gt;4,"X",""))</f>
      </c>
      <c r="V39" s="480">
        <v>20.06</v>
      </c>
      <c r="W39" s="481"/>
      <c r="X39" s="481"/>
      <c r="Y39" s="61">
        <f>IF($V39="","",IF($R$3&gt;$V39,"X",""))</f>
      </c>
      <c r="Z39" s="12" t="s">
        <v>2992</v>
      </c>
      <c r="AA39" s="11">
        <f>IF(OR(AND(V39="",Z39&lt;&gt;""),AND(V39&lt;&gt;"",Z39=""),AND(V39="w",Z39&lt;&gt;"w"),AND(V39="nt",Z39="w"),RR4!N21="x"),"x","")</f>
      </c>
      <c r="AB39" s="61"/>
      <c r="AC39" s="61"/>
      <c r="AE39" s="62">
        <f>IF(AND(COUNT($V39)=1,OR($O39=1,$P39=1,$Q39=1,$R39=1,$S39=1,$T39=1)),INT($V39),"x")</f>
        <v>20</v>
      </c>
      <c r="AF39" s="63">
        <f>IF(AE39="x","",IF(AE39=SMALL($AE$22:$AE$76,1),AE39,""))</f>
      </c>
      <c r="AG39" s="62">
        <f>IF(AND(COUNT($V39)=1,OR($O39=2,$P39=2,$Q39=2,$R39=2,$S39=2,$T39=2)),INT($V39),"x")</f>
        <v>20</v>
      </c>
      <c r="AH39" s="63">
        <f>IF(AG39="x","",IF(AG39=SMALL($AG$22:$AG$76,1),AG39,""))</f>
      </c>
      <c r="AI39" s="62">
        <f>IF(AND(COUNT($V39)=1,OR($O39=3,$P39=3,$Q39=3,$R39=3,$S39=3,$T39=3)),INT($V39),"x")</f>
        <v>20</v>
      </c>
      <c r="AJ39" s="63">
        <f>IF(AI39="x","",IF(AI39=SMALL($AI$22:$AI$76,1),AI39,""))</f>
      </c>
      <c r="AK39" s="62" t="str">
        <f>IF(AND(COUNT($V39)=1,OR($O39=4,$P39=4,$Q39=4,$R39=4,$S39=4,$T39=4)),INT($V39),"x")</f>
        <v>x</v>
      </c>
      <c r="AL39" s="63">
        <f>IF(AK39="x","",IF(AK39=SMALL($AK$22:$AK$76,1),AK39,""))</f>
      </c>
      <c r="AM39" s="62">
        <f>IF(AND(COUNT($V39)=1,OR($O39=5,$P39=5,$Q39=5,$R39=5,$S39=5,$T39=5)),INT($V39),"x")</f>
        <v>20</v>
      </c>
      <c r="AN39" s="63">
        <f>IF(AM39="x","",IF(AM39=SMALL($AM$22:$AM$76,1),AM39,""))</f>
      </c>
      <c r="AO39" s="62" t="str">
        <f>IF(AND(COUNT($V39)=1,OR($O39=6,$P39=6,$Q39=6,$R39=6,$S39=6,$T39=6)),INT($V39),"x")</f>
        <v>x</v>
      </c>
      <c r="AP39" s="63">
        <f>IF(AO39="x","",IF(AO39=SMALL($AO$22:$AO$76,1),AO39,""))</f>
      </c>
      <c r="AQ39" s="64"/>
      <c r="AR39" s="32"/>
    </row>
    <row r="40" spans="1:44" ht="15" customHeight="1">
      <c r="A40" s="366"/>
      <c r="B40" s="32"/>
      <c r="C40" s="367"/>
      <c r="D40" s="32"/>
      <c r="H40" s="490"/>
      <c r="I40" s="490"/>
      <c r="J40" s="490"/>
      <c r="K40" s="490"/>
      <c r="L40" s="490"/>
      <c r="M40" s="491">
        <v>5</v>
      </c>
      <c r="N40" s="492"/>
      <c r="O40" s="12"/>
      <c r="P40" s="12"/>
      <c r="Q40" s="12"/>
      <c r="R40" s="12"/>
      <c r="S40" s="468"/>
      <c r="T40" s="469"/>
      <c r="U40" s="61">
        <f>IF(V40="","",IF(COUNT(O40:T40)&lt;&gt;4,"X",""))</f>
      </c>
      <c r="V40" s="480"/>
      <c r="W40" s="481"/>
      <c r="X40" s="481"/>
      <c r="Y40" s="61">
        <f>IF($V40="","",IF($R$3&gt;$V40,"X",""))</f>
      </c>
      <c r="Z40" s="12"/>
      <c r="AA40" s="11">
        <f>IF(OR(AND(V40="",Z40&lt;&gt;""),AND(V40&lt;&gt;"",Z40=""),AND(V40="w",Z40&lt;&gt;"w"),AND(V40="nt",Z40="w"),RR4!N22="x"),"x","")</f>
      </c>
      <c r="AB40" s="61"/>
      <c r="AC40" s="61"/>
      <c r="AE40" s="65" t="str">
        <f>IF(AND(COUNT($V40)=1,OR($O40=1,$P40=1,$Q40=1,$R40=1,$S40=1,$T40=1)),INT($V40),"x")</f>
        <v>x</v>
      </c>
      <c r="AF40" s="66">
        <f>IF(AE40="x","",IF(AE40=SMALL($AE$22:$AE$76,1),AE40,""))</f>
      </c>
      <c r="AG40" s="65" t="str">
        <f>IF(AND(COUNT($V40)=1,OR($O40=2,$P40=2,$Q40=2,$R40=2,$S40=2,$T40=2)),INT($V40),"x")</f>
        <v>x</v>
      </c>
      <c r="AH40" s="63">
        <f>IF(AG40="x","",IF(AG40=SMALL($AG$22:$AG$76,1),AG40,""))</f>
      </c>
      <c r="AI40" s="65" t="str">
        <f>IF(AND(COUNT($V40)=1,OR($O40=3,$P40=3,$Q40=3,$R40=3,$S40=3,$T40=3)),INT($V40),"x")</f>
        <v>x</v>
      </c>
      <c r="AJ40" s="63">
        <f>IF(AI40="x","",IF(AI40=SMALL($AI$22:$AI$76,1),AI40,""))</f>
      </c>
      <c r="AK40" s="65" t="str">
        <f>IF(AND(COUNT($V40)=1,OR($O40=4,$P40=4,$Q40=4,$R40=4,$S40=4,$T40=4)),INT($V40),"x")</f>
        <v>x</v>
      </c>
      <c r="AL40" s="63">
        <f>IF(AK40="x","",IF(AK40=SMALL($AK$22:$AK$76,1),AK40,""))</f>
      </c>
      <c r="AM40" s="65" t="str">
        <f>IF(AND(COUNT($V40)=1,OR($O40=5,$P40=5,$Q40=5,$R40=5,$S40=5,$T40=5)),INT($V40),"x")</f>
        <v>x</v>
      </c>
      <c r="AN40" s="63">
        <f>IF(AM40="x","",IF(AM40=SMALL($AM$22:$AM$76,1),AM40,""))</f>
      </c>
      <c r="AO40" s="65" t="str">
        <f>IF(AND(COUNT($V40)=1,OR($O40=6,$P40=6,$Q40=6,$R40=6,$S40=6,$T40=6)),INT($V40),"x")</f>
        <v>x</v>
      </c>
      <c r="AP40" s="63">
        <f>IF(AO40="x","",IF(AO40=SMALL($AO$22:$AO$76,1),AO40,""))</f>
      </c>
      <c r="AQ40" s="64"/>
      <c r="AR40" s="32"/>
    </row>
    <row r="41" spans="1:42" ht="4.5" customHeight="1">
      <c r="A41" s="366"/>
      <c r="B41" s="32"/>
      <c r="C41" s="367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564"/>
      <c r="W41" s="564"/>
      <c r="X41" s="564"/>
      <c r="Y41" s="174"/>
      <c r="Z41" s="175"/>
      <c r="AA41" s="68"/>
      <c r="AB41" s="61"/>
      <c r="AC41" s="61"/>
      <c r="AE41" s="69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4" ht="15" customHeight="1">
      <c r="A42" s="366"/>
      <c r="B42" s="32"/>
      <c r="C42" s="367"/>
      <c r="D42" s="32"/>
      <c r="E42" s="55" t="str">
        <f>VLOOKUP("race",'[1]Strings'!$A$3:$K$102,'[1]Strings'!$A$1,FALSE)</f>
        <v>Rennen</v>
      </c>
      <c r="F42" s="55" t="str">
        <f>VLOOKUP("baan / piste",'[1]Strings'!$A$3:$K$102,'[1]Strings'!$A$1,FALSE)</f>
        <v>Bahn</v>
      </c>
      <c r="G42" s="55"/>
      <c r="H42" s="476" t="str">
        <f>VLOOKUP("tegen / contre",'[1]Strings'!$A$3:$K$102,'[1]Strings'!$A$1,FALSE)</f>
        <v>gegen</v>
      </c>
      <c r="I42" s="476"/>
      <c r="J42" s="476"/>
      <c r="K42" s="476"/>
      <c r="L42" s="477"/>
      <c r="M42" s="477" t="str">
        <f>VLOOKUP("heat",'[1]Strings'!$A$3:$K$102,'[1]Strings'!$A$1,FALSE)</f>
        <v>Lauf</v>
      </c>
      <c r="N42" s="477"/>
      <c r="O42" s="476" t="str">
        <f>VLOOKUP("Honden / chiens",'[1]Strings'!$A$3:$K$102,'[1]Strings'!$A$1,FALSE)</f>
        <v>Hunde</v>
      </c>
      <c r="P42" s="476"/>
      <c r="Q42" s="476"/>
      <c r="R42" s="476"/>
      <c r="S42" s="476"/>
      <c r="T42" s="476"/>
      <c r="U42" s="162" t="str">
        <f>VLOOKUP("          Tijd/temps",'[1]Strings'!$A$3:$K$102,'[1]Strings'!$A$1,FALSE)</f>
        <v>           Zeit</v>
      </c>
      <c r="V42" s="163"/>
      <c r="W42" s="163"/>
      <c r="X42" s="163"/>
      <c r="Y42" s="161" t="str">
        <f>VLOOKUP("    W / L / T",'[1]Strings'!$A$3:$K$102,'[1]Strings'!$A$1,FALSE)</f>
        <v>    W/L/T</v>
      </c>
      <c r="Z42" s="55"/>
      <c r="AA42" s="68"/>
      <c r="AB42" s="61"/>
      <c r="AC42" s="61"/>
      <c r="AD42" s="55"/>
      <c r="AE42" s="70"/>
      <c r="AF42" s="67"/>
      <c r="AG42" s="70"/>
      <c r="AH42" s="67"/>
      <c r="AI42" s="70"/>
      <c r="AJ42" s="67"/>
      <c r="AK42" s="70"/>
      <c r="AL42" s="67"/>
      <c r="AM42" s="70"/>
      <c r="AN42" s="67"/>
      <c r="AO42" s="70"/>
      <c r="AP42" s="67"/>
      <c r="AQ42" s="565"/>
      <c r="AR42" s="478"/>
    </row>
    <row r="43" spans="1:44" ht="15" customHeight="1">
      <c r="A43" s="366"/>
      <c r="B43" s="32"/>
      <c r="C43" s="367"/>
      <c r="D43" s="32"/>
      <c r="E43" s="488">
        <f>IF(uitslagen!$E$82="","",VLOOKUP(C3,uitslagen!$E$82:$L$90,8,FALSE))</f>
        <v>1</v>
      </c>
      <c r="F43" s="59" t="str">
        <f>IF(E43="","",IF(VLOOKUP($C$3&amp;"-"&amp;E43,'DE4'!$S$10:$AS$24,27,FALSE)="Rood",VLOOKUP("Rood / Rouge",'[1]Strings'!$A$3:$K$102,'[1]Strings'!$A$1,FALSE),""))</f>
        <v>Rot</v>
      </c>
      <c r="G43" s="71">
        <f>IF(E43="","",E43)</f>
        <v>1</v>
      </c>
      <c r="H43" s="478" t="str">
        <f>IF(E43="","",VLOOKUP($C$3&amp;"-"&amp;E43,'DE4'!$S$10:$AR$24,26,FALSE))</f>
        <v>Cool Racers</v>
      </c>
      <c r="I43" s="478"/>
      <c r="J43" s="478"/>
      <c r="K43" s="478"/>
      <c r="L43" s="479"/>
      <c r="M43" s="491">
        <v>1</v>
      </c>
      <c r="N43" s="492"/>
      <c r="O43" s="12">
        <v>5</v>
      </c>
      <c r="P43" s="12">
        <v>1</v>
      </c>
      <c r="Q43" s="12">
        <v>2</v>
      </c>
      <c r="R43" s="12">
        <v>3</v>
      </c>
      <c r="S43" s="468"/>
      <c r="T43" s="469"/>
      <c r="U43" s="61">
        <f>IF(V43="","",IF(COUNT(O43:T43)&lt;&gt;4,"X",""))</f>
      </c>
      <c r="V43" s="480">
        <v>19.94</v>
      </c>
      <c r="W43" s="481"/>
      <c r="X43" s="481"/>
      <c r="Y43" s="61">
        <f>IF($V43="","",IF($R$3&gt;$V43,"X",""))</f>
      </c>
      <c r="Z43" s="12" t="s">
        <v>2992</v>
      </c>
      <c r="AA43" s="11">
        <f>IF(G43="","",IF(OR(AND(V43="",Z43&lt;&gt;""),AND(V43&lt;&gt;"",Z43=""),AND(V43="w",Z43&lt;&gt;"w"),AND(V43="nt",Z43="w"),VLOOKUP($C$3&amp;"-"&amp;G43,'DE4'!$S$10:$AM$24,M43+16,FALSE)="x"),"x",""))</f>
      </c>
      <c r="AB43" s="61"/>
      <c r="AC43" s="61"/>
      <c r="AE43" s="62">
        <f>IF(AND(COUNT($V43)=1,OR($O43=1,$P43=1,$Q43=1,$R43=1,$S43=1,$T43=1)),INT($V43),"x")</f>
        <v>19</v>
      </c>
      <c r="AF43" s="63">
        <f>IF(AE43="x","",IF(AE43=SMALL($AE$22:$AE$76,1),AE43,""))</f>
        <v>19</v>
      </c>
      <c r="AG43" s="62">
        <f>IF(AND(COUNT($V43)=1,OR($O43=2,$P43=2,$Q43=2,$R43=2,$S43=2,$T43=2)),INT($V43),"x")</f>
        <v>19</v>
      </c>
      <c r="AH43" s="63">
        <f>IF(AG43="x","",IF(AG43=SMALL($AG$22:$AG$76,1),AG43,""))</f>
        <v>19</v>
      </c>
      <c r="AI43" s="62">
        <f>IF(AND(COUNT($V43)=1,OR($O43=3,$P43=3,$Q43=3,$R43=3,$S43=3,$T43=3)),INT($V43),"x")</f>
        <v>19</v>
      </c>
      <c r="AJ43" s="63">
        <f>IF(AI43="x","",IF(AI43=SMALL($AI$22:$AI$76,1),AI43,""))</f>
        <v>19</v>
      </c>
      <c r="AK43" s="62" t="str">
        <f>IF(AND(COUNT($V43)=1,OR($O43=4,$P43=4,$Q43=4,$R43=4,$S43=4,$T43=4)),INT($V43),"x")</f>
        <v>x</v>
      </c>
      <c r="AL43" s="63">
        <f>IF(AK43="x","",IF(AK43=SMALL($AK$22:$AK$76,1),AK43,""))</f>
      </c>
      <c r="AM43" s="62">
        <f>IF(AND(COUNT($V43)=1,OR($O43=5,$P43=5,$Q43=5,$R43=5,$S43=5,$T43=5)),INT($V43),"x")</f>
        <v>19</v>
      </c>
      <c r="AN43" s="63">
        <f>IF(AM43="x","",IF(AM43=SMALL($AM$22:$AM$76,1),AM43,""))</f>
        <v>19</v>
      </c>
      <c r="AO43" s="62" t="str">
        <f>IF(AND(COUNT($V43)=1,OR($O43=6,$P43=6,$Q43=6,$R43=6,$S43=6,$T43=6)),INT($V43),"x")</f>
        <v>x</v>
      </c>
      <c r="AP43" s="63">
        <f>IF(AO43="x","",IF(AO43=SMALL($AO$22:$AO$76,1),AO43,""))</f>
      </c>
      <c r="AQ43" s="64"/>
      <c r="AR43" s="32"/>
    </row>
    <row r="44" spans="1:44" ht="15" customHeight="1">
      <c r="A44" s="366"/>
      <c r="B44" s="32"/>
      <c r="C44" s="367"/>
      <c r="D44" s="32"/>
      <c r="E44" s="489"/>
      <c r="F44" s="59">
        <f>IF(E43="","",IF(VLOOKUP($C$3&amp;"-"&amp;E43,'DE4'!$S$10:$AS$24,27,FALSE)="Blauw",VLOOKUP("Blauw / Bleu",'[1]Strings'!$A$3:$K$102,'[1]Strings'!$A$1,FALSE),""))</f>
      </c>
      <c r="G44" s="71">
        <f>IF(E43="","",E43)</f>
        <v>1</v>
      </c>
      <c r="H44" s="490">
        <f>IF(OR(U43="x",Y43="x",AA43="x"),"CONTROLEER INVOER       HEAT 1",IF(OR(U44="x",Y44="x",AA44="x"),"CONTROLEER INVOER       HEAT 2",IF(OR(U45="x",Y45="x",AA45="x"),"CONTROLEER INVOER       HEAT 3",IF(OR(U46="x",Y46="x",AA46="x"),"CONTROLEER INVOER       HEAT 4",IF(OR(U47="x",Y47="x",AA47="x"),"CONTROLEER INVOER       HEAT 5","")))))</f>
      </c>
      <c r="I44" s="490"/>
      <c r="J44" s="490"/>
      <c r="K44" s="490"/>
      <c r="L44" s="490"/>
      <c r="M44" s="491">
        <v>2</v>
      </c>
      <c r="N44" s="492"/>
      <c r="O44" s="12">
        <v>5</v>
      </c>
      <c r="P44" s="12">
        <v>1</v>
      </c>
      <c r="Q44" s="12">
        <v>2</v>
      </c>
      <c r="R44" s="12">
        <v>3</v>
      </c>
      <c r="S44" s="468"/>
      <c r="T44" s="469"/>
      <c r="U44" s="61">
        <f>IF(V44="","",IF(COUNT(O44:T44)&lt;&gt;4,"X",""))</f>
      </c>
      <c r="V44" s="480" t="s">
        <v>2993</v>
      </c>
      <c r="W44" s="481"/>
      <c r="X44" s="481"/>
      <c r="Y44" s="61">
        <f>IF($V44="","",IF($R$3&gt;$V44,"X",""))</f>
      </c>
      <c r="Z44" s="12" t="s">
        <v>2994</v>
      </c>
      <c r="AA44" s="11">
        <f>IF(G44="","",IF(OR(AND(V44="",Z44&lt;&gt;""),AND(V44&lt;&gt;"",Z44=""),AND(V44="w",Z44&lt;&gt;"w"),AND(V44="nt",Z44="w"),VLOOKUP($C$3&amp;"-"&amp;G44,'DE4'!$S$10:$AM$24,M44+16,FALSE)="x"),"x",""))</f>
      </c>
      <c r="AB44" s="61"/>
      <c r="AC44" s="61"/>
      <c r="AE44" s="62" t="str">
        <f>IF(AND(COUNT($V44)=1,OR($O44=1,$P44=1,$Q44=1,$R44=1,$S44=1,$T44=1)),INT($V44),"x")</f>
        <v>x</v>
      </c>
      <c r="AF44" s="63">
        <f>IF(AE44="x","",IF(AE44=SMALL($AE$22:$AE$76,1),AE44,""))</f>
      </c>
      <c r="AG44" s="62" t="str">
        <f>IF(AND(COUNT($V44)=1,OR($O44=2,$P44=2,$Q44=2,$R44=2,$S44=2,$T44=2)),INT($V44),"x")</f>
        <v>x</v>
      </c>
      <c r="AH44" s="63">
        <f>IF(AG44="x","",IF(AG44=SMALL($AG$22:$AG$76,1),AG44,""))</f>
      </c>
      <c r="AI44" s="62" t="str">
        <f>IF(AND(COUNT($V44)=1,OR($O44=3,$P44=3,$Q44=3,$R44=3,$S44=3,$T44=3)),INT($V44),"x")</f>
        <v>x</v>
      </c>
      <c r="AJ44" s="63">
        <f>IF(AI44="x","",IF(AI44=SMALL($AI$22:$AI$76,1),AI44,""))</f>
      </c>
      <c r="AK44" s="62" t="str">
        <f>IF(AND(COUNT($V44)=1,OR($O44=4,$P44=4,$Q44=4,$R44=4,$S44=4,$T44=4)),INT($V44),"x")</f>
        <v>x</v>
      </c>
      <c r="AL44" s="63">
        <f>IF(AK44="x","",IF(AK44=SMALL($AK$22:$AK$76,1),AK44,""))</f>
      </c>
      <c r="AM44" s="62" t="str">
        <f>IF(AND(COUNT($V44)=1,OR($O44=5,$P44=5,$Q44=5,$R44=5,$S44=5,$T44=5)),INT($V44),"x")</f>
        <v>x</v>
      </c>
      <c r="AN44" s="63">
        <f>IF(AM44="x","",IF(AM44=SMALL($AM$22:$AM$76,1),AM44,""))</f>
      </c>
      <c r="AO44" s="62" t="str">
        <f>IF(AND(COUNT($V44)=1,OR($O44=6,$P44=6,$Q44=6,$R44=6,$S44=6,$T44=6)),INT($V44),"x")</f>
        <v>x</v>
      </c>
      <c r="AP44" s="63">
        <f>IF(AO44="x","",IF(AO44=SMALL($AO$22:$AO$76,1),AO44,""))</f>
      </c>
      <c r="AQ44" s="64"/>
      <c r="AR44" s="32"/>
    </row>
    <row r="45" spans="1:44" ht="15" customHeight="1">
      <c r="A45" s="366"/>
      <c r="B45" s="32"/>
      <c r="C45" s="367"/>
      <c r="D45" s="32"/>
      <c r="E45" s="2" t="str">
        <f>IF(E43="","",uitslagen!$B$49)</f>
        <v>DE</v>
      </c>
      <c r="F45" s="71"/>
      <c r="G45" s="71">
        <f>IF(E43="","",E43)</f>
        <v>1</v>
      </c>
      <c r="H45" s="490"/>
      <c r="I45" s="490"/>
      <c r="J45" s="490"/>
      <c r="K45" s="490"/>
      <c r="L45" s="490"/>
      <c r="M45" s="491">
        <v>3</v>
      </c>
      <c r="N45" s="492"/>
      <c r="O45" s="12">
        <v>5</v>
      </c>
      <c r="P45" s="12">
        <v>1</v>
      </c>
      <c r="Q45" s="12">
        <v>2</v>
      </c>
      <c r="R45" s="12">
        <v>3</v>
      </c>
      <c r="S45" s="468"/>
      <c r="T45" s="469"/>
      <c r="U45" s="61">
        <f>IF(V45="","",IF(COUNT(O45:T45)&lt;&gt;4,"X",""))</f>
      </c>
      <c r="V45" s="480" t="s">
        <v>2993</v>
      </c>
      <c r="W45" s="481"/>
      <c r="X45" s="481"/>
      <c r="Y45" s="61">
        <f>IF($V45="","",IF($R$3&gt;$V45,"X",""))</f>
      </c>
      <c r="Z45" s="12" t="s">
        <v>2994</v>
      </c>
      <c r="AA45" s="11">
        <f>IF(G45="","",IF(OR(AND(V45="",Z45&lt;&gt;""),AND(V45&lt;&gt;"",Z45=""),AND(V45="w",Z45&lt;&gt;"w"),AND(V45="nt",Z45="w"),VLOOKUP($C$3&amp;"-"&amp;G45,'DE4'!$S$10:$AM$24,M45+16,FALSE)="x"),"x",""))</f>
      </c>
      <c r="AB45" s="61"/>
      <c r="AC45" s="61"/>
      <c r="AE45" s="62" t="str">
        <f>IF(AND(COUNT($V45)=1,OR($O45=1,$P45=1,$Q45=1,$R45=1,$S45=1,$T45=1)),INT($V45),"x")</f>
        <v>x</v>
      </c>
      <c r="AF45" s="63">
        <f>IF(AE45="x","",IF(AE45=SMALL($AE$22:$AE$76,1),AE45,""))</f>
      </c>
      <c r="AG45" s="62" t="str">
        <f>IF(AND(COUNT($V45)=1,OR($O45=2,$P45=2,$Q45=2,$R45=2,$S45=2,$T45=2)),INT($V45),"x")</f>
        <v>x</v>
      </c>
      <c r="AH45" s="63">
        <f>IF(AG45="x","",IF(AG45=SMALL($AG$22:$AG$76,1),AG45,""))</f>
      </c>
      <c r="AI45" s="62" t="str">
        <f>IF(AND(COUNT($V45)=1,OR($O45=3,$P45=3,$Q45=3,$R45=3,$S45=3,$T45=3)),INT($V45),"x")</f>
        <v>x</v>
      </c>
      <c r="AJ45" s="63">
        <f>IF(AI45="x","",IF(AI45=SMALL($AI$22:$AI$76,1),AI45,""))</f>
      </c>
      <c r="AK45" s="62" t="str">
        <f>IF(AND(COUNT($V45)=1,OR($O45=4,$P45=4,$Q45=4,$R45=4,$S45=4,$T45=4)),INT($V45),"x")</f>
        <v>x</v>
      </c>
      <c r="AL45" s="63">
        <f>IF(AK45="x","",IF(AK45=SMALL($AK$22:$AK$76,1),AK45,""))</f>
      </c>
      <c r="AM45" s="62" t="str">
        <f>IF(AND(COUNT($V45)=1,OR($O45=5,$P45=5,$Q45=5,$R45=5,$S45=5,$T45=5)),INT($V45),"x")</f>
        <v>x</v>
      </c>
      <c r="AN45" s="63">
        <f>IF(AM45="x","",IF(AM45=SMALL($AM$22:$AM$76,1),AM45,""))</f>
      </c>
      <c r="AO45" s="62" t="str">
        <f>IF(AND(COUNT($V45)=1,OR($O45=6,$P45=6,$Q45=6,$R45=6,$S45=6,$T45=6)),INT($V45),"x")</f>
        <v>x</v>
      </c>
      <c r="AP45" s="63">
        <f>IF(AO45="x","",IF(AO45=SMALL($AO$22:$AO$76,1),AO45,""))</f>
      </c>
      <c r="AQ45" s="64"/>
      <c r="AR45" s="32"/>
    </row>
    <row r="46" spans="1:44" ht="15" customHeight="1">
      <c r="A46" s="366"/>
      <c r="B46" s="32"/>
      <c r="C46" s="367"/>
      <c r="D46" s="32"/>
      <c r="E46" s="71">
        <f>IF(OR(COUNTIF(Z43:Z47,"w")=uitslagen!$H$49,MID(E43,1,1)="T"),2,IF(COUNTIF(Z43:Z47,"l")=uitslagen!$H$49,3,""))</f>
        <v>3</v>
      </c>
      <c r="G46" s="71">
        <f>IF(E43="","",E43)</f>
        <v>1</v>
      </c>
      <c r="H46" s="490"/>
      <c r="I46" s="490"/>
      <c r="J46" s="490"/>
      <c r="K46" s="490"/>
      <c r="L46" s="490"/>
      <c r="M46" s="491">
        <v>4</v>
      </c>
      <c r="N46" s="492"/>
      <c r="O46" s="12">
        <v>5</v>
      </c>
      <c r="P46" s="12">
        <v>1</v>
      </c>
      <c r="Q46" s="12">
        <v>2</v>
      </c>
      <c r="R46" s="12">
        <v>3</v>
      </c>
      <c r="S46" s="468"/>
      <c r="T46" s="469"/>
      <c r="U46" s="61">
        <f>IF(V46="","",IF(COUNT(O46:T46)&lt;&gt;4,"X",""))</f>
      </c>
      <c r="V46" s="480">
        <v>99.99</v>
      </c>
      <c r="W46" s="481"/>
      <c r="X46" s="481"/>
      <c r="Y46" s="61">
        <f>IF($V46="","",IF($R$3&gt;$V46,"X",""))</f>
      </c>
      <c r="Z46" s="12" t="s">
        <v>2994</v>
      </c>
      <c r="AA46" s="11">
        <f>IF(G46="","",IF(OR(AND(V46="",Z46&lt;&gt;""),AND(V46&lt;&gt;"",Z46=""),AND(V46="w",Z46&lt;&gt;"w"),AND(V46="nt",Z46="w"),VLOOKUP($C$3&amp;"-"&amp;G46,'DE4'!$S$10:$AM$24,M46+16,FALSE)="x"),"x",""))</f>
      </c>
      <c r="AB46" s="61"/>
      <c r="AC46" s="61"/>
      <c r="AE46" s="62">
        <f>IF(AND(COUNT($V46)=1,OR($O46=1,$P46=1,$Q46=1,$R46=1,$S46=1,$T46=1)),INT($V46),"x")</f>
        <v>99</v>
      </c>
      <c r="AF46" s="63">
        <f>IF(AE46="x","",IF(AE46=SMALL($AE$22:$AE$76,1),AE46,""))</f>
      </c>
      <c r="AG46" s="62">
        <f>IF(AND(COUNT($V46)=1,OR($O46=2,$P46=2,$Q46=2,$R46=2,$S46=2,$T46=2)),INT($V46),"x")</f>
        <v>99</v>
      </c>
      <c r="AH46" s="63">
        <f>IF(AG46="x","",IF(AG46=SMALL($AG$22:$AG$76,1),AG46,""))</f>
      </c>
      <c r="AI46" s="62">
        <f>IF(AND(COUNT($V46)=1,OR($O46=3,$P46=3,$Q46=3,$R46=3,$S46=3,$T46=3)),INT($V46),"x")</f>
        <v>99</v>
      </c>
      <c r="AJ46" s="63">
        <f>IF(AI46="x","",IF(AI46=SMALL($AI$22:$AI$76,1),AI46,""))</f>
      </c>
      <c r="AK46" s="62" t="str">
        <f>IF(AND(COUNT($V46)=1,OR($O46=4,$P46=4,$Q46=4,$R46=4,$S46=4,$T46=4)),INT($V46),"x")</f>
        <v>x</v>
      </c>
      <c r="AL46" s="63">
        <f>IF(AK46="x","",IF(AK46=SMALL($AK$22:$AK$76,1),AK46,""))</f>
      </c>
      <c r="AM46" s="62">
        <f>IF(AND(COUNT($V46)=1,OR($O46=5,$P46=5,$Q46=5,$R46=5,$S46=5,$T46=5)),INT($V46),"x")</f>
        <v>99</v>
      </c>
      <c r="AN46" s="63">
        <f>IF(AM46="x","",IF(AM46=SMALL($AM$22:$AM$76,1),AM46,""))</f>
      </c>
      <c r="AO46" s="62" t="str">
        <f>IF(AND(COUNT($V46)=1,OR($O46=6,$P46=6,$Q46=6,$R46=6,$S46=6,$T46=6)),INT($V46),"x")</f>
        <v>x</v>
      </c>
      <c r="AP46" s="63">
        <f>IF(AO46="x","",IF(AO46=SMALL($AO$22:$AO$76,1),AO46,""))</f>
      </c>
      <c r="AQ46" s="64"/>
      <c r="AR46" s="32"/>
    </row>
    <row r="47" spans="1:44" ht="15" customHeight="1">
      <c r="A47" s="366"/>
      <c r="B47" s="32"/>
      <c r="C47" s="367"/>
      <c r="D47" s="32"/>
      <c r="E47" s="72">
        <f>IF(E43=16,"FINALE",IF(E43=17,"FINALE  Herkansing",""))</f>
      </c>
      <c r="G47" s="71">
        <f>IF(E43="","",E43)</f>
        <v>1</v>
      </c>
      <c r="H47" s="490"/>
      <c r="I47" s="490"/>
      <c r="J47" s="490"/>
      <c r="K47" s="490"/>
      <c r="L47" s="490"/>
      <c r="M47" s="491">
        <v>5</v>
      </c>
      <c r="N47" s="492"/>
      <c r="O47" s="12"/>
      <c r="P47" s="12"/>
      <c r="Q47" s="12"/>
      <c r="R47" s="12"/>
      <c r="S47" s="468"/>
      <c r="T47" s="469"/>
      <c r="U47" s="61">
        <f>IF(V47="","",IF(COUNT(O47:T47)&lt;&gt;4,"X",""))</f>
      </c>
      <c r="V47" s="480"/>
      <c r="W47" s="481"/>
      <c r="X47" s="481"/>
      <c r="Y47" s="61">
        <f>IF($V47="","",IF($R$3&gt;$V47,"X",""))</f>
      </c>
      <c r="Z47" s="12"/>
      <c r="AA47" s="11">
        <f>IF(G47="","",IF(OR(AND(V47="",Z47&lt;&gt;""),AND(V47&lt;&gt;"",Z47=""),AND(V47="w",Z47&lt;&gt;"w"),AND(V47="nt",Z47="w"),VLOOKUP($C$3&amp;"-"&amp;G47,'DE4'!$S$10:$AM$24,M47+16,FALSE)="x"),"x",""))</f>
      </c>
      <c r="AB47" s="61"/>
      <c r="AC47" s="61"/>
      <c r="AE47" s="65" t="str">
        <f>IF(AND(COUNT($V47)=1,OR($O47=1,$P47=1,$Q47=1,$R47=1,$S47=1,$T47=1)),INT($V47),"x")</f>
        <v>x</v>
      </c>
      <c r="AF47" s="66">
        <f>IF(AE47="x","",IF(AE47=SMALL($AE$22:$AE$76,1),AE47,""))</f>
      </c>
      <c r="AG47" s="65" t="str">
        <f>IF(AND(COUNT($V47)=1,OR($O47=2,$P47=2,$Q47=2,$R47=2,$S47=2,$T47=2)),INT($V47),"x")</f>
        <v>x</v>
      </c>
      <c r="AH47" s="63">
        <f>IF(AG47="x","",IF(AG47=SMALL($AG$22:$AG$76,1),AG47,""))</f>
      </c>
      <c r="AI47" s="65" t="str">
        <f>IF(AND(COUNT($V47)=1,OR($O47=3,$P47=3,$Q47=3,$R47=3,$S47=3,$T47=3)),INT($V47),"x")</f>
        <v>x</v>
      </c>
      <c r="AJ47" s="63">
        <f>IF(AI47="x","",IF(AI47=SMALL($AI$22:$AI$76,1),AI47,""))</f>
      </c>
      <c r="AK47" s="65" t="str">
        <f>IF(AND(COUNT($V47)=1,OR($O47=4,$P47=4,$Q47=4,$R47=4,$S47=4,$T47=4)),INT($V47),"x")</f>
        <v>x</v>
      </c>
      <c r="AL47" s="63">
        <f>IF(AK47="x","",IF(AK47=SMALL($AK$22:$AK$76,1),AK47,""))</f>
      </c>
      <c r="AM47" s="65" t="str">
        <f>IF(AND(COUNT($V47)=1,OR($O47=5,$P47=5,$Q47=5,$R47=5,$S47=5,$T47=5)),INT($V47),"x")</f>
        <v>x</v>
      </c>
      <c r="AN47" s="63">
        <f>IF(AM47="x","",IF(AM47=SMALL($AM$22:$AM$76,1),AM47,""))</f>
      </c>
      <c r="AO47" s="65" t="str">
        <f>IF(AND(COUNT($V47)=1,OR($O47=6,$P47=6,$Q47=6,$R47=6,$S47=6,$T47=6)),INT($V47),"x")</f>
        <v>x</v>
      </c>
      <c r="AP47" s="63">
        <f>IF(AO47="x","",IF(AO47=SMALL($AO$22:$AO$76,1),AO47,""))</f>
      </c>
      <c r="AQ47" s="64"/>
      <c r="AR47" s="32"/>
    </row>
    <row r="48" spans="1:42" ht="3.75" customHeight="1">
      <c r="A48" s="366"/>
      <c r="B48" s="32"/>
      <c r="C48" s="367"/>
      <c r="E48" s="67"/>
      <c r="F48" s="67"/>
      <c r="G48" s="73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487"/>
      <c r="W48" s="487"/>
      <c r="X48" s="487"/>
      <c r="Y48" s="67"/>
      <c r="Z48" s="76"/>
      <c r="AA48" s="68"/>
      <c r="AB48" s="61"/>
      <c r="AC48" s="61"/>
      <c r="AE48" s="69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4" ht="15" customHeight="1">
      <c r="A49" s="366"/>
      <c r="B49" s="32"/>
      <c r="C49" s="367"/>
      <c r="D49" s="32"/>
      <c r="E49" s="55" t="str">
        <f>VLOOKUP("race",'[1]Strings'!$A$3:$K$102,'[1]Strings'!$A$1,FALSE)</f>
        <v>Rennen</v>
      </c>
      <c r="F49" s="55" t="str">
        <f>VLOOKUP("baan / piste",'[1]Strings'!$A$3:$K$102,'[1]Strings'!$A$1,FALSE)</f>
        <v>Bahn</v>
      </c>
      <c r="G49" s="55"/>
      <c r="H49" s="476" t="str">
        <f>VLOOKUP("tegen / contre",'[1]Strings'!$A$3:$K$102,'[1]Strings'!$A$1,FALSE)</f>
        <v>gegen</v>
      </c>
      <c r="I49" s="476"/>
      <c r="J49" s="476"/>
      <c r="K49" s="476"/>
      <c r="L49" s="477"/>
      <c r="M49" s="477" t="str">
        <f>VLOOKUP("heat",'[1]Strings'!$A$3:$K$102,'[1]Strings'!$A$1,FALSE)</f>
        <v>Lauf</v>
      </c>
      <c r="N49" s="477"/>
      <c r="O49" s="476" t="str">
        <f>VLOOKUP("Honden / chiens",'[1]Strings'!$A$3:$K$102,'[1]Strings'!$A$1,FALSE)</f>
        <v>Hunde</v>
      </c>
      <c r="P49" s="476"/>
      <c r="Q49" s="476"/>
      <c r="R49" s="476"/>
      <c r="S49" s="476"/>
      <c r="T49" s="476"/>
      <c r="U49" s="162" t="str">
        <f>VLOOKUP("          Tijd/temps",'[1]Strings'!$A$3:$K$102,'[1]Strings'!$A$1,FALSE)</f>
        <v>           Zeit</v>
      </c>
      <c r="V49" s="163"/>
      <c r="W49" s="163"/>
      <c r="X49" s="163"/>
      <c r="Y49" s="161" t="str">
        <f>VLOOKUP("    W / L / T",'[1]Strings'!$A$3:$K$102,'[1]Strings'!$A$1,FALSE)</f>
        <v>    W/L/T</v>
      </c>
      <c r="Z49" s="55"/>
      <c r="AA49" s="68"/>
      <c r="AB49" s="61"/>
      <c r="AC49" s="61"/>
      <c r="AD49" s="55"/>
      <c r="AE49" s="70"/>
      <c r="AF49" s="67"/>
      <c r="AG49" s="70"/>
      <c r="AH49" s="67"/>
      <c r="AI49" s="70"/>
      <c r="AJ49" s="67"/>
      <c r="AK49" s="70"/>
      <c r="AL49" s="67"/>
      <c r="AM49" s="70"/>
      <c r="AN49" s="67"/>
      <c r="AO49" s="70"/>
      <c r="AP49" s="67"/>
      <c r="AQ49" s="565"/>
      <c r="AR49" s="478"/>
    </row>
    <row r="50" spans="1:44" ht="15" customHeight="1">
      <c r="A50" s="366"/>
      <c r="B50" s="32"/>
      <c r="C50" s="367"/>
      <c r="D50" s="32"/>
      <c r="E50" s="488">
        <f>IF(OR(E46="",E43=""),"",VLOOKUP(E48&amp;"-"&amp;E43,'DE4'!$AX$10:$AZ$25,E46,FALSE))</f>
        <v>4</v>
      </c>
      <c r="F50" s="59" t="str">
        <f>IF(E50="","",IF(VLOOKUP($C$3&amp;"-"&amp;E50,'DE4'!$S$10:$AS$24,27,FALSE)="Rood",VLOOKUP("Rood / Rouge",'[1]Strings'!$A$3:$K$102,'[1]Strings'!$A$1,FALSE),""))</f>
        <v>Rot</v>
      </c>
      <c r="G50" s="71">
        <f>IF(E50="","",E50)</f>
        <v>4</v>
      </c>
      <c r="H50" s="478" t="str">
        <f>IF(E50="","",VLOOKUP($C$3&amp;"-"&amp;E50,'DE4'!$S$10:$AR$24,26,FALSE))</f>
        <v>BayernXpress I</v>
      </c>
      <c r="I50" s="478"/>
      <c r="J50" s="478"/>
      <c r="K50" s="478"/>
      <c r="L50" s="479"/>
      <c r="M50" s="491">
        <v>1</v>
      </c>
      <c r="N50" s="492"/>
      <c r="O50" s="12">
        <v>1</v>
      </c>
      <c r="P50" s="12">
        <v>2</v>
      </c>
      <c r="Q50" s="12">
        <v>3</v>
      </c>
      <c r="R50" s="12">
        <v>4</v>
      </c>
      <c r="S50" s="468"/>
      <c r="T50" s="469"/>
      <c r="U50" s="61">
        <f>IF(V50="","",IF(COUNT(O50:T50)&lt;&gt;4,"X",""))</f>
      </c>
      <c r="V50" s="480">
        <v>20.74</v>
      </c>
      <c r="W50" s="481"/>
      <c r="X50" s="481"/>
      <c r="Y50" s="61">
        <f>IF($V50="","",IF($R$3&gt;$V50,"X",""))</f>
      </c>
      <c r="Z50" s="12" t="s">
        <v>2994</v>
      </c>
      <c r="AA50" s="11">
        <f>IF(G50="","",IF(OR(AND(V50="",Z50&lt;&gt;""),AND(V50&lt;&gt;"",Z50=""),AND(V50="w",Z50&lt;&gt;"w"),AND(V50="nt",Z50="w"),VLOOKUP($C$3&amp;"-"&amp;G50,'DE4'!$S$10:$AM$24,M50+16,FALSE)="x"),"x",""))</f>
      </c>
      <c r="AB50" s="61"/>
      <c r="AC50" s="61"/>
      <c r="AE50" s="62">
        <f>IF(AND(COUNT($V50)=1,OR($O50=1,$P50=1,$Q50=1,$R50=1,$S50=1,$T50=1)),INT($V50),"x")</f>
        <v>20</v>
      </c>
      <c r="AF50" s="63">
        <f>IF(AE50="x","",IF(AE50=SMALL($AE$22:$AE$76,1),AE50,""))</f>
      </c>
      <c r="AG50" s="62">
        <f>IF(AND(COUNT($V50)=1,OR($O50=2,$P50=2,$Q50=2,$R50=2,$S50=2,$T50=2)),INT($V50),"x")</f>
        <v>20</v>
      </c>
      <c r="AH50" s="63">
        <f>IF(AG50="x","",IF(AG50=SMALL($AG$22:$AG$76,1),AG50,""))</f>
      </c>
      <c r="AI50" s="62">
        <f>IF(AND(COUNT($V50)=1,OR($O50=3,$P50=3,$Q50=3,$R50=3,$S50=3,$T50=3)),INT($V50),"x")</f>
        <v>20</v>
      </c>
      <c r="AJ50" s="63">
        <f>IF(AI50="x","",IF(AI50=SMALL($AI$22:$AI$76,1),AI50,""))</f>
      </c>
      <c r="AK50" s="62">
        <f>IF(AND(COUNT($V50)=1,OR($O50=4,$P50=4,$Q50=4,$R50=4,$S50=4,$T50=4)),INT($V50),"x")</f>
        <v>20</v>
      </c>
      <c r="AL50" s="63">
        <f>IF(AK50="x","",IF(AK50=SMALL($AK$22:$AK$76,1),AK50,""))</f>
        <v>20</v>
      </c>
      <c r="AM50" s="62" t="str">
        <f>IF(AND(COUNT($V50)=1,OR($O50=5,$P50=5,$Q50=5,$R50=5,$S50=5,$T50=5)),INT($V50),"x")</f>
        <v>x</v>
      </c>
      <c r="AN50" s="63">
        <f>IF(AM50="x","",IF(AM50=SMALL($AM$22:$AM$76,1),AM50,""))</f>
      </c>
      <c r="AO50" s="62" t="str">
        <f>IF(AND(COUNT($V50)=1,OR($O50=6,$P50=6,$Q50=6,$R50=6,$S50=6,$T50=6)),INT($V50),"x")</f>
        <v>x</v>
      </c>
      <c r="AP50" s="63">
        <f>IF(AO50="x","",IF(AO50=SMALL($AO$22:$AO$76,1),AO50,""))</f>
      </c>
      <c r="AQ50" s="64"/>
      <c r="AR50" s="32"/>
    </row>
    <row r="51" spans="1:44" ht="15" customHeight="1">
      <c r="A51" s="366"/>
      <c r="B51" s="32"/>
      <c r="C51" s="367"/>
      <c r="D51" s="32"/>
      <c r="E51" s="489"/>
      <c r="F51" s="59">
        <f>IF(E50="","",IF(VLOOKUP($C$3&amp;"-"&amp;E50,'DE4'!$S$10:$AS$24,27,FALSE)="Blauw",VLOOKUP("Blauw / Bleu",'[1]Strings'!$A$3:$K$102,'[1]Strings'!$A$1,FALSE),""))</f>
      </c>
      <c r="G51" s="71">
        <f>IF(E50="","",E50)</f>
        <v>4</v>
      </c>
      <c r="H51" s="490">
        <f>IF(OR(U50="x",Y50="x",AA50="x"),"CONTROLEER INVOER       HEAT 1",IF(OR(U51="x",Y51="x",AA51="x"),"CONTROLEER INVOER       HEAT 2",IF(OR(U52="x",Y52="x",AA52="x"),"CONTROLEER INVOER       HEAT 3",IF(OR(U53="x",Y53="x",AA53="x"),"CONTROLEER INVOER       HEAT 4",IF(OR(U54="x",Y54="x",AA54="x"),"CONTROLEER INVOER       HEAT 5","")))))</f>
      </c>
      <c r="I51" s="490"/>
      <c r="J51" s="490"/>
      <c r="K51" s="490"/>
      <c r="L51" s="490"/>
      <c r="M51" s="491">
        <v>2</v>
      </c>
      <c r="N51" s="492"/>
      <c r="O51" s="12">
        <v>1</v>
      </c>
      <c r="P51" s="12">
        <v>2</v>
      </c>
      <c r="Q51" s="12">
        <v>3</v>
      </c>
      <c r="R51" s="12">
        <v>4</v>
      </c>
      <c r="S51" s="468"/>
      <c r="T51" s="469"/>
      <c r="U51" s="61">
        <f>IF(V51="","",IF(COUNT(O51:T51)&lt;&gt;4,"X",""))</f>
      </c>
      <c r="V51" s="480">
        <v>20.63</v>
      </c>
      <c r="W51" s="481"/>
      <c r="X51" s="481"/>
      <c r="Y51" s="61">
        <f>IF($V51="","",IF($R$3&gt;$V51,"X",""))</f>
      </c>
      <c r="Z51" s="12" t="s">
        <v>2992</v>
      </c>
      <c r="AA51" s="11">
        <f>IF(G51="","",IF(OR(AND(V51="",Z51&lt;&gt;""),AND(V51&lt;&gt;"",Z51=""),AND(V51="w",Z51&lt;&gt;"w"),AND(V51="nt",Z51="w"),VLOOKUP($C$3&amp;"-"&amp;G51,'DE4'!$S$10:$AM$24,M51+16,FALSE)="x"),"x",""))</f>
      </c>
      <c r="AB51" s="61"/>
      <c r="AC51" s="61"/>
      <c r="AE51" s="62">
        <f>IF(AND(COUNT($V51)=1,OR($O51=1,$P51=1,$Q51=1,$R51=1,$S51=1,$T51=1)),INT($V51),"x")</f>
        <v>20</v>
      </c>
      <c r="AF51" s="63">
        <f>IF(AE51="x","",IF(AE51=SMALL($AE$22:$AE$76,1),AE51,""))</f>
      </c>
      <c r="AG51" s="62">
        <f>IF(AND(COUNT($V51)=1,OR($O51=2,$P51=2,$Q51=2,$R51=2,$S51=2,$T51=2)),INT($V51),"x")</f>
        <v>20</v>
      </c>
      <c r="AH51" s="63">
        <f>IF(AG51="x","",IF(AG51=SMALL($AG$22:$AG$76,1),AG51,""))</f>
      </c>
      <c r="AI51" s="62">
        <f>IF(AND(COUNT($V51)=1,OR($O51=3,$P51=3,$Q51=3,$R51=3,$S51=3,$T51=3)),INT($V51),"x")</f>
        <v>20</v>
      </c>
      <c r="AJ51" s="63">
        <f>IF(AI51="x","",IF(AI51=SMALL($AI$22:$AI$76,1),AI51,""))</f>
      </c>
      <c r="AK51" s="62">
        <f>IF(AND(COUNT($V51)=1,OR($O51=4,$P51=4,$Q51=4,$R51=4,$S51=4,$T51=4)),INT($V51),"x")</f>
        <v>20</v>
      </c>
      <c r="AL51" s="63">
        <f>IF(AK51="x","",IF(AK51=SMALL($AK$22:$AK$76,1),AK51,""))</f>
        <v>20</v>
      </c>
      <c r="AM51" s="62" t="str">
        <f>IF(AND(COUNT($V51)=1,OR($O51=5,$P51=5,$Q51=5,$R51=5,$S51=5,$T51=5)),INT($V51),"x")</f>
        <v>x</v>
      </c>
      <c r="AN51" s="63">
        <f>IF(AM51="x","",IF(AM51=SMALL($AM$22:$AM$76,1),AM51,""))</f>
      </c>
      <c r="AO51" s="62" t="str">
        <f>IF(AND(COUNT($V51)=1,OR($O51=6,$P51=6,$Q51=6,$R51=6,$S51=6,$T51=6)),INT($V51),"x")</f>
        <v>x</v>
      </c>
      <c r="AP51" s="63">
        <f>IF(AO51="x","",IF(AO51=SMALL($AO$22:$AO$76,1),AO51,""))</f>
      </c>
      <c r="AQ51" s="64"/>
      <c r="AR51" s="32"/>
    </row>
    <row r="52" spans="1:44" ht="15" customHeight="1">
      <c r="A52" s="366"/>
      <c r="B52" s="32"/>
      <c r="C52" s="367"/>
      <c r="D52" s="32"/>
      <c r="E52" s="2" t="str">
        <f>IF(E50="","",uitslagen!$B$49)</f>
        <v>DE</v>
      </c>
      <c r="F52" s="71"/>
      <c r="G52" s="71">
        <f>IF(E50="","",E50)</f>
        <v>4</v>
      </c>
      <c r="H52" s="490"/>
      <c r="I52" s="490"/>
      <c r="J52" s="490"/>
      <c r="K52" s="490"/>
      <c r="L52" s="490"/>
      <c r="M52" s="491">
        <v>3</v>
      </c>
      <c r="N52" s="492"/>
      <c r="O52" s="12">
        <v>1</v>
      </c>
      <c r="P52" s="12">
        <v>2</v>
      </c>
      <c r="Q52" s="12">
        <v>3</v>
      </c>
      <c r="R52" s="12">
        <v>4</v>
      </c>
      <c r="S52" s="468"/>
      <c r="T52" s="469"/>
      <c r="U52" s="61">
        <f>IF(V52="","",IF(COUNT(O52:T52)&lt;&gt;4,"X",""))</f>
      </c>
      <c r="V52" s="480">
        <v>20.72</v>
      </c>
      <c r="W52" s="481"/>
      <c r="X52" s="481"/>
      <c r="Y52" s="61">
        <f>IF($V52="","",IF($R$3&gt;$V52,"X",""))</f>
      </c>
      <c r="Z52" s="12" t="s">
        <v>2992</v>
      </c>
      <c r="AA52" s="11">
        <f>IF(G52="","",IF(OR(AND(V52="",Z52&lt;&gt;""),AND(V52&lt;&gt;"",Z52=""),AND(V52="w",Z52&lt;&gt;"w"),AND(V52="nt",Z52="w"),VLOOKUP($C$3&amp;"-"&amp;G52,'DE4'!$S$10:$AM$24,M52+16,FALSE)="x"),"x",""))</f>
      </c>
      <c r="AB52" s="61"/>
      <c r="AC52" s="61"/>
      <c r="AE52" s="62">
        <f>IF(AND(COUNT($V52)=1,OR($O52=1,$P52=1,$Q52=1,$R52=1,$S52=1,$T52=1)),INT($V52),"x")</f>
        <v>20</v>
      </c>
      <c r="AF52" s="63">
        <f>IF(AE52="x","",IF(AE52=SMALL($AE$22:$AE$76,1),AE52,""))</f>
      </c>
      <c r="AG52" s="62">
        <f>IF(AND(COUNT($V52)=1,OR($O52=2,$P52=2,$Q52=2,$R52=2,$S52=2,$T52=2)),INT($V52),"x")</f>
        <v>20</v>
      </c>
      <c r="AH52" s="63">
        <f>IF(AG52="x","",IF(AG52=SMALL($AG$22:$AG$76,1),AG52,""))</f>
      </c>
      <c r="AI52" s="62">
        <f>IF(AND(COUNT($V52)=1,OR($O52=3,$P52=3,$Q52=3,$R52=3,$S52=3,$T52=3)),INT($V52),"x")</f>
        <v>20</v>
      </c>
      <c r="AJ52" s="63">
        <f>IF(AI52="x","",IF(AI52=SMALL($AI$22:$AI$76,1),AI52,""))</f>
      </c>
      <c r="AK52" s="62">
        <f>IF(AND(COUNT($V52)=1,OR($O52=4,$P52=4,$Q52=4,$R52=4,$S52=4,$T52=4)),INT($V52),"x")</f>
        <v>20</v>
      </c>
      <c r="AL52" s="63">
        <f>IF(AK52="x","",IF(AK52=SMALL($AK$22:$AK$76,1),AK52,""))</f>
        <v>20</v>
      </c>
      <c r="AM52" s="62" t="str">
        <f>IF(AND(COUNT($V52)=1,OR($O52=5,$P52=5,$Q52=5,$R52=5,$S52=5,$T52=5)),INT($V52),"x")</f>
        <v>x</v>
      </c>
      <c r="AN52" s="63">
        <f>IF(AM52="x","",IF(AM52=SMALL($AM$22:$AM$76,1),AM52,""))</f>
      </c>
      <c r="AO52" s="62" t="str">
        <f>IF(AND(COUNT($V52)=1,OR($O52=6,$P52=6,$Q52=6,$R52=6,$S52=6,$T52=6)),INT($V52),"x")</f>
        <v>x</v>
      </c>
      <c r="AP52" s="63">
        <f>IF(AO52="x","",IF(AO52=SMALL($AO$22:$AO$76,1),AO52,""))</f>
      </c>
      <c r="AQ52" s="64"/>
      <c r="AR52" s="32"/>
    </row>
    <row r="53" spans="1:44" ht="15" customHeight="1">
      <c r="A53" s="366"/>
      <c r="B53" s="32"/>
      <c r="C53" s="367"/>
      <c r="D53" s="32"/>
      <c r="E53" s="71">
        <f>IF(OR(COUNTIF(Z50:Z54,"w")=uitslagen!$H$49,MID(E50,1,1)="T"),2,IF(COUNTIF(Z50:Z54,"l")=uitslagen!$H$49,3,""))</f>
        <v>3</v>
      </c>
      <c r="G53" s="71">
        <f>IF(E50="","",E50)</f>
        <v>4</v>
      </c>
      <c r="H53" s="490"/>
      <c r="I53" s="490"/>
      <c r="J53" s="490"/>
      <c r="K53" s="490"/>
      <c r="L53" s="490"/>
      <c r="M53" s="491">
        <v>4</v>
      </c>
      <c r="N53" s="492"/>
      <c r="O53" s="12">
        <v>1</v>
      </c>
      <c r="P53" s="12">
        <v>2</v>
      </c>
      <c r="Q53" s="12">
        <v>3</v>
      </c>
      <c r="R53" s="12">
        <v>4</v>
      </c>
      <c r="S53" s="468"/>
      <c r="T53" s="469"/>
      <c r="U53" s="61">
        <f>IF(V53="","",IF(COUNT(O53:T53)&lt;&gt;4,"X",""))</f>
      </c>
      <c r="V53" s="480">
        <v>20.95</v>
      </c>
      <c r="W53" s="481"/>
      <c r="X53" s="481"/>
      <c r="Y53" s="61">
        <f>IF($V53="","",IF($R$3&gt;$V53,"X",""))</f>
      </c>
      <c r="Z53" s="12" t="s">
        <v>2994</v>
      </c>
      <c r="AA53" s="11">
        <f>IF(G53="","",IF(OR(AND(V53="",Z53&lt;&gt;""),AND(V53&lt;&gt;"",Z53=""),AND(V53="w",Z53&lt;&gt;"w"),AND(V53="nt",Z53="w"),VLOOKUP($C$3&amp;"-"&amp;G53,'DE4'!$S$10:$AM$24,M53+16,FALSE)="x"),"x",""))</f>
      </c>
      <c r="AB53" s="61"/>
      <c r="AC53" s="61"/>
      <c r="AE53" s="62">
        <f>IF(AND(COUNT($V53)=1,OR($O53=1,$P53=1,$Q53=1,$R53=1,$S53=1,$T53=1)),INT($V53),"x")</f>
        <v>20</v>
      </c>
      <c r="AF53" s="63">
        <f>IF(AE53="x","",IF(AE53=SMALL($AE$22:$AE$76,1),AE53,""))</f>
      </c>
      <c r="AG53" s="62">
        <f>IF(AND(COUNT($V53)=1,OR($O53=2,$P53=2,$Q53=2,$R53=2,$S53=2,$T53=2)),INT($V53),"x")</f>
        <v>20</v>
      </c>
      <c r="AH53" s="63">
        <f>IF(AG53="x","",IF(AG53=SMALL($AG$22:$AG$76,1),AG53,""))</f>
      </c>
      <c r="AI53" s="62">
        <f>IF(AND(COUNT($V53)=1,OR($O53=3,$P53=3,$Q53=3,$R53=3,$S53=3,$T53=3)),INT($V53),"x")</f>
        <v>20</v>
      </c>
      <c r="AJ53" s="63">
        <f>IF(AI53="x","",IF(AI53=SMALL($AI$22:$AI$76,1),AI53,""))</f>
      </c>
      <c r="AK53" s="62">
        <f>IF(AND(COUNT($V53)=1,OR($O53=4,$P53=4,$Q53=4,$R53=4,$S53=4,$T53=4)),INT($V53),"x")</f>
        <v>20</v>
      </c>
      <c r="AL53" s="63">
        <f>IF(AK53="x","",IF(AK53=SMALL($AK$22:$AK$76,1),AK53,""))</f>
        <v>20</v>
      </c>
      <c r="AM53" s="62" t="str">
        <f>IF(AND(COUNT($V53)=1,OR($O53=5,$P53=5,$Q53=5,$R53=5,$S53=5,$T53=5)),INT($V53),"x")</f>
        <v>x</v>
      </c>
      <c r="AN53" s="63">
        <f>IF(AM53="x","",IF(AM53=SMALL($AM$22:$AM$76,1),AM53,""))</f>
      </c>
      <c r="AO53" s="62" t="str">
        <f>IF(AND(COUNT($V53)=1,OR($O53=6,$P53=6,$Q53=6,$R53=6,$S53=6,$T53=6)),INT($V53),"x")</f>
        <v>x</v>
      </c>
      <c r="AP53" s="63">
        <f>IF(AO53="x","",IF(AO53=SMALL($AO$22:$AO$76,1),AO53,""))</f>
      </c>
      <c r="AQ53" s="64"/>
      <c r="AR53" s="32"/>
    </row>
    <row r="54" spans="1:44" ht="15" customHeight="1">
      <c r="A54" s="366"/>
      <c r="B54" s="32"/>
      <c r="C54" s="367"/>
      <c r="D54" s="32"/>
      <c r="E54" s="74">
        <f>IF(E50=16,"FINALE",IF(E50=17,"FINALE  Herkansing",""))</f>
      </c>
      <c r="G54" s="71">
        <f>IF(E50="","",E50)</f>
        <v>4</v>
      </c>
      <c r="H54" s="490"/>
      <c r="I54" s="490"/>
      <c r="J54" s="490"/>
      <c r="K54" s="490"/>
      <c r="L54" s="490"/>
      <c r="M54" s="491">
        <v>5</v>
      </c>
      <c r="N54" s="492"/>
      <c r="O54" s="12">
        <v>1</v>
      </c>
      <c r="P54" s="12">
        <v>2</v>
      </c>
      <c r="Q54" s="12">
        <v>3</v>
      </c>
      <c r="R54" s="12">
        <v>4</v>
      </c>
      <c r="S54" s="468"/>
      <c r="T54" s="469"/>
      <c r="U54" s="61">
        <f>IF(V54="","",IF(COUNT(O54:T54)&lt;&gt;4,"X",""))</f>
      </c>
      <c r="V54" s="480">
        <v>20.4</v>
      </c>
      <c r="W54" s="481"/>
      <c r="X54" s="481"/>
      <c r="Y54" s="61">
        <f>IF($V54="","",IF($R$3&gt;$V54,"X",""))</f>
      </c>
      <c r="Z54" s="12" t="s">
        <v>2994</v>
      </c>
      <c r="AA54" s="11">
        <f>IF(G54="","",IF(OR(AND(V54="",Z54&lt;&gt;""),AND(V54&lt;&gt;"",Z54=""),AND(V54="w",Z54&lt;&gt;"w"),AND(V54="nt",Z54="w"),VLOOKUP($C$3&amp;"-"&amp;G54,'DE4'!$S$10:$AM$24,M54+16,FALSE)="x"),"x",""))</f>
      </c>
      <c r="AB54" s="61"/>
      <c r="AC54" s="61"/>
      <c r="AE54" s="65">
        <f>IF(AND(COUNT($V54)=1,OR($O54=1,$P54=1,$Q54=1,$R54=1,$S54=1,$T54=1)),INT($V54),"x")</f>
        <v>20</v>
      </c>
      <c r="AF54" s="66">
        <f>IF(AE54="x","",IF(AE54=SMALL($AE$22:$AE$76,1),AE54,""))</f>
      </c>
      <c r="AG54" s="65">
        <f>IF(AND(COUNT($V54)=1,OR($O54=2,$P54=2,$Q54=2,$R54=2,$S54=2,$T54=2)),INT($V54),"x")</f>
        <v>20</v>
      </c>
      <c r="AH54" s="63">
        <f>IF(AG54="x","",IF(AG54=SMALL($AG$22:$AG$76,1),AG54,""))</f>
      </c>
      <c r="AI54" s="65">
        <f>IF(AND(COUNT($V54)=1,OR($O54=3,$P54=3,$Q54=3,$R54=3,$S54=3,$T54=3)),INT($V54),"x")</f>
        <v>20</v>
      </c>
      <c r="AJ54" s="63">
        <f>IF(AI54="x","",IF(AI54=SMALL($AI$22:$AI$76,1),AI54,""))</f>
      </c>
      <c r="AK54" s="65">
        <f>IF(AND(COUNT($V54)=1,OR($O54=4,$P54=4,$Q54=4,$R54=4,$S54=4,$T54=4)),INT($V54),"x")</f>
        <v>20</v>
      </c>
      <c r="AL54" s="63">
        <f>IF(AK54="x","",IF(AK54=SMALL($AK$22:$AK$76,1),AK54,""))</f>
        <v>20</v>
      </c>
      <c r="AM54" s="65" t="str">
        <f>IF(AND(COUNT($V54)=1,OR($O54=5,$P54=5,$Q54=5,$R54=5,$S54=5,$T54=5)),INT($V54),"x")</f>
        <v>x</v>
      </c>
      <c r="AN54" s="63">
        <f>IF(AM54="x","",IF(AM54=SMALL($AM$22:$AM$76,1),AM54,""))</f>
      </c>
      <c r="AO54" s="65" t="str">
        <f>IF(AND(COUNT($V54)=1,OR($O54=6,$P54=6,$Q54=6,$R54=6,$S54=6,$T54=6)),INT($V54),"x")</f>
        <v>x</v>
      </c>
      <c r="AP54" s="63">
        <f>IF(AO54="x","",IF(AO54=SMALL($AO$22:$AO$76,1),AO54,""))</f>
      </c>
      <c r="AQ54" s="64"/>
      <c r="AR54" s="32"/>
    </row>
    <row r="55" spans="1:42" ht="3.75" customHeight="1">
      <c r="A55" s="366"/>
      <c r="B55" s="32"/>
      <c r="C55" s="367"/>
      <c r="E55" s="67"/>
      <c r="F55" s="67"/>
      <c r="G55" s="7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487"/>
      <c r="W55" s="487"/>
      <c r="X55" s="487"/>
      <c r="Y55" s="67"/>
      <c r="Z55" s="76"/>
      <c r="AA55" s="68"/>
      <c r="AB55" s="61"/>
      <c r="AC55" s="61"/>
      <c r="AE55" s="69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</row>
    <row r="56" spans="1:44" ht="15" customHeight="1">
      <c r="A56" s="366"/>
      <c r="B56" s="32"/>
      <c r="C56" s="367"/>
      <c r="D56" s="32"/>
      <c r="E56" s="55" t="str">
        <f>VLOOKUP("race",'[1]Strings'!$A$3:$K$102,'[1]Strings'!$A$1,FALSE)</f>
        <v>Rennen</v>
      </c>
      <c r="F56" s="55" t="str">
        <f>VLOOKUP("baan / piste",'[1]Strings'!$A$3:$K$102,'[1]Strings'!$A$1,FALSE)</f>
        <v>Bahn</v>
      </c>
      <c r="G56" s="55"/>
      <c r="H56" s="476" t="str">
        <f>VLOOKUP("tegen / contre",'[1]Strings'!$A$3:$K$102,'[1]Strings'!$A$1,FALSE)</f>
        <v>gegen</v>
      </c>
      <c r="I56" s="476"/>
      <c r="J56" s="476"/>
      <c r="K56" s="476"/>
      <c r="L56" s="477"/>
      <c r="M56" s="477" t="str">
        <f>VLOOKUP("heat",'[1]Strings'!$A$3:$K$102,'[1]Strings'!$A$1,FALSE)</f>
        <v>Lauf</v>
      </c>
      <c r="N56" s="477"/>
      <c r="O56" s="476" t="str">
        <f>VLOOKUP("Honden / chiens",'[1]Strings'!$A$3:$K$102,'[1]Strings'!$A$1,FALSE)</f>
        <v>Hunde</v>
      </c>
      <c r="P56" s="476"/>
      <c r="Q56" s="476"/>
      <c r="R56" s="476"/>
      <c r="S56" s="476"/>
      <c r="T56" s="476"/>
      <c r="U56" s="162" t="str">
        <f>VLOOKUP("          Tijd/temps",'[1]Strings'!$A$3:$K$102,'[1]Strings'!$A$1,FALSE)</f>
        <v>           Zeit</v>
      </c>
      <c r="V56" s="163"/>
      <c r="W56" s="163"/>
      <c r="X56" s="163"/>
      <c r="Y56" s="161" t="str">
        <f>VLOOKUP("    W / L / T",'[1]Strings'!$A$3:$K$102,'[1]Strings'!$A$1,FALSE)</f>
        <v>    W/L/T</v>
      </c>
      <c r="Z56" s="55"/>
      <c r="AA56" s="68"/>
      <c r="AB56" s="61"/>
      <c r="AC56" s="61"/>
      <c r="AD56" s="55"/>
      <c r="AE56" s="70"/>
      <c r="AF56" s="67"/>
      <c r="AG56" s="70"/>
      <c r="AH56" s="67"/>
      <c r="AI56" s="70"/>
      <c r="AJ56" s="67"/>
      <c r="AK56" s="70"/>
      <c r="AL56" s="67"/>
      <c r="AM56" s="70"/>
      <c r="AN56" s="67"/>
      <c r="AO56" s="70"/>
      <c r="AP56" s="67"/>
      <c r="AQ56" s="565"/>
      <c r="AR56" s="478"/>
    </row>
    <row r="57" spans="1:44" ht="15" customHeight="1">
      <c r="A57" s="366"/>
      <c r="B57" s="32"/>
      <c r="C57" s="367"/>
      <c r="D57" s="32"/>
      <c r="E57" s="488">
        <f>IF(OR(E53="",E50=""),"",VLOOKUP(E43&amp;"-"&amp;E50,'DE4'!$AX$10:$AZ$25,E53,FALSE))</f>
      </c>
      <c r="F57" s="59">
        <f>IF(E57="","",IF(VLOOKUP($C$3&amp;"-"&amp;E57,'DE4'!$S$10:$AS$24,27,FALSE)="Rood",VLOOKUP("Rood / Rouge",'[1]Strings'!$A$3:$K$102,'[1]Strings'!$A$1,FALSE),""))</f>
      </c>
      <c r="G57" s="71">
        <f>IF(E57="","",E57)</f>
      </c>
      <c r="H57" s="478">
        <f>IF(E57="","",VLOOKUP($C$3&amp;"-"&amp;E57,'DE4'!$S$10:$AR$24,26,FALSE))</f>
      </c>
      <c r="I57" s="478"/>
      <c r="J57" s="478"/>
      <c r="K57" s="478"/>
      <c r="L57" s="479"/>
      <c r="M57" s="491">
        <v>1</v>
      </c>
      <c r="N57" s="492"/>
      <c r="O57" s="12"/>
      <c r="P57" s="12"/>
      <c r="Q57" s="12"/>
      <c r="R57" s="12"/>
      <c r="S57" s="468"/>
      <c r="T57" s="469"/>
      <c r="U57" s="61">
        <f>IF(V57="","",IF(COUNT(O57:T57)&lt;&gt;4,"X",""))</f>
      </c>
      <c r="V57" s="480"/>
      <c r="W57" s="481"/>
      <c r="X57" s="481"/>
      <c r="Y57" s="61">
        <f>IF($V57="","",IF($R$3&gt;$V57,"X",""))</f>
      </c>
      <c r="Z57" s="12"/>
      <c r="AA57" s="11">
        <f>IF(G57="","",IF(OR(AND(V57="",Z57&lt;&gt;""),AND(V57&lt;&gt;"",Z57=""),AND(V57="w",Z57&lt;&gt;"w"),AND(V57="nt",Z57="w"),VLOOKUP($C$3&amp;"-"&amp;G57,'DE4'!$S$10:$AM$24,M57+16,FALSE)="x"),"x",""))</f>
      </c>
      <c r="AB57" s="61"/>
      <c r="AC57" s="61"/>
      <c r="AE57" s="62" t="str">
        <f>IF(AND(COUNT($V57)=1,OR($O57=1,$P57=1,$Q57=1,$R57=1,$S57=1,$T57=1)),INT($V57),"x")</f>
        <v>x</v>
      </c>
      <c r="AF57" s="63">
        <f>IF(AE57="x","",IF(AE57=SMALL($AE$22:$AE$76,1),AE57,""))</f>
      </c>
      <c r="AG57" s="62" t="str">
        <f>IF(AND(COUNT($V57)=1,OR($O57=2,$P57=2,$Q57=2,$R57=2,$S57=2,$T57=2)),INT($V57),"x")</f>
        <v>x</v>
      </c>
      <c r="AH57" s="63">
        <f>IF(AG57="x","",IF(AG57=SMALL($AG$22:$AG$76,1),AG57,""))</f>
      </c>
      <c r="AI57" s="62" t="str">
        <f>IF(AND(COUNT($V57)=1,OR($O57=3,$P57=3,$Q57=3,$R57=3,$S57=3,$T57=3)),INT($V57),"x")</f>
        <v>x</v>
      </c>
      <c r="AJ57" s="63">
        <f>IF(AI57="x","",IF(AI57=SMALL($AI$22:$AI$76,1),AI57,""))</f>
      </c>
      <c r="AK57" s="62" t="str">
        <f>IF(AND(COUNT($V57)=1,OR($O57=4,$P57=4,$Q57=4,$R57=4,$S57=4,$T57=4)),INT($V57),"x")</f>
        <v>x</v>
      </c>
      <c r="AL57" s="63">
        <f>IF(AK57="x","",IF(AK57=SMALL($AK$22:$AK$76,1),AK57,""))</f>
      </c>
      <c r="AM57" s="62" t="str">
        <f>IF(AND(COUNT($V57)=1,OR($O57=5,$P57=5,$Q57=5,$R57=5,$S57=5,$T57=5)),INT($V57),"x")</f>
        <v>x</v>
      </c>
      <c r="AN57" s="63">
        <f>IF(AM57="x","",IF(AM57=SMALL($AM$22:$AM$76,1),AM57,""))</f>
      </c>
      <c r="AO57" s="62" t="str">
        <f>IF(AND(COUNT($V57)=1,OR($O57=6,$P57=6,$Q57=6,$R57=6,$S57=6,$T57=6)),INT($V57),"x")</f>
        <v>x</v>
      </c>
      <c r="AP57" s="63">
        <f>IF(AO57="x","",IF(AO57=SMALL($AO$22:$AO$76,1),AO57,""))</f>
      </c>
      <c r="AQ57" s="64"/>
      <c r="AR57" s="32"/>
    </row>
    <row r="58" spans="1:44" ht="15" customHeight="1">
      <c r="A58" s="366"/>
      <c r="B58" s="32"/>
      <c r="C58" s="367"/>
      <c r="D58" s="32"/>
      <c r="E58" s="489"/>
      <c r="F58" s="59">
        <f>IF(E57="","",IF(VLOOKUP($C$3&amp;"-"&amp;E57,'DE4'!$S$10:$AS$24,27,FALSE)="Blauw",VLOOKUP("Blauw / Bleu",'[1]Strings'!$A$3:$K$102,'[1]Strings'!$A$1,FALSE),""))</f>
      </c>
      <c r="G58" s="71">
        <f>IF(E57="","",E57)</f>
      </c>
      <c r="H58" s="490">
        <f>IF(OR(U57="x",Y57="x",AA57="x"),"CONTROLEER INVOER       HEAT 1",IF(OR(U58="x",Y58="x",AA58="x"),"CONTROLEER INVOER       HEAT 2",IF(OR(U59="x",Y59="x",AA59="x"),"CONTROLEER INVOER       HEAT 3",IF(OR(U60="x",Y60="x",AA60="x"),"CONTROLEER INVOER       HEAT 4",IF(OR(U61="x",Y61="x",AA61="x"),"CONTROLEER INVOER       HEAT 5","")))))</f>
      </c>
      <c r="I58" s="490"/>
      <c r="J58" s="490"/>
      <c r="K58" s="490"/>
      <c r="L58" s="490"/>
      <c r="M58" s="491">
        <v>2</v>
      </c>
      <c r="N58" s="492"/>
      <c r="O58" s="12"/>
      <c r="P58" s="12"/>
      <c r="Q58" s="12"/>
      <c r="R58" s="12"/>
      <c r="S58" s="468"/>
      <c r="T58" s="469"/>
      <c r="U58" s="61">
        <f>IF(V58="","",IF(COUNT(O58:T58)&lt;&gt;4,"X",""))</f>
      </c>
      <c r="V58" s="480"/>
      <c r="W58" s="481"/>
      <c r="X58" s="481"/>
      <c r="Y58" s="61">
        <f>IF($V58="","",IF($R$3&gt;$V58,"X",""))</f>
      </c>
      <c r="Z58" s="12"/>
      <c r="AA58" s="11">
        <f>IF(G58="","",IF(OR(AND(V58="",Z58&lt;&gt;""),AND(V58&lt;&gt;"",Z58=""),AND(V58="w",Z58&lt;&gt;"w"),AND(V58="nt",Z58="w"),VLOOKUP($C$3&amp;"-"&amp;G58,'DE4'!$S$10:$AM$24,M58+16,FALSE)="x"),"x",""))</f>
      </c>
      <c r="AB58" s="61"/>
      <c r="AC58" s="61"/>
      <c r="AE58" s="62" t="str">
        <f>IF(AND(COUNT($V58)=1,OR($O58=1,$P58=1,$Q58=1,$R58=1,$S58=1,$T58=1)),INT($V58),"x")</f>
        <v>x</v>
      </c>
      <c r="AF58" s="63">
        <f>IF(AE58="x","",IF(AE58=SMALL($AE$22:$AE$76,1),AE58,""))</f>
      </c>
      <c r="AG58" s="62" t="str">
        <f>IF(AND(COUNT($V58)=1,OR($O58=2,$P58=2,$Q58=2,$R58=2,$S58=2,$T58=2)),INT($V58),"x")</f>
        <v>x</v>
      </c>
      <c r="AH58" s="63">
        <f>IF(AG58="x","",IF(AG58=SMALL($AG$22:$AG$76,1),AG58,""))</f>
      </c>
      <c r="AI58" s="62" t="str">
        <f>IF(AND(COUNT($V58)=1,OR($O58=3,$P58=3,$Q58=3,$R58=3,$S58=3,$T58=3)),INT($V58),"x")</f>
        <v>x</v>
      </c>
      <c r="AJ58" s="63">
        <f>IF(AI58="x","",IF(AI58=SMALL($AI$22:$AI$76,1),AI58,""))</f>
      </c>
      <c r="AK58" s="62" t="str">
        <f>IF(AND(COUNT($V58)=1,OR($O58=4,$P58=4,$Q58=4,$R58=4,$S58=4,$T58=4)),INT($V58),"x")</f>
        <v>x</v>
      </c>
      <c r="AL58" s="63">
        <f>IF(AK58="x","",IF(AK58=SMALL($AK$22:$AK$76,1),AK58,""))</f>
      </c>
      <c r="AM58" s="62" t="str">
        <f>IF(AND(COUNT($V58)=1,OR($O58=5,$P58=5,$Q58=5,$R58=5,$S58=5,$T58=5)),INT($V58),"x")</f>
        <v>x</v>
      </c>
      <c r="AN58" s="63">
        <f>IF(AM58="x","",IF(AM58=SMALL($AM$22:$AM$76,1),AM58,""))</f>
      </c>
      <c r="AO58" s="62" t="str">
        <f>IF(AND(COUNT($V58)=1,OR($O58=6,$P58=6,$Q58=6,$R58=6,$S58=6,$T58=6)),INT($V58),"x")</f>
        <v>x</v>
      </c>
      <c r="AP58" s="63">
        <f>IF(AO58="x","",IF(AO58=SMALL($AO$22:$AO$76,1),AO58,""))</f>
      </c>
      <c r="AQ58" s="64"/>
      <c r="AR58" s="32"/>
    </row>
    <row r="59" spans="1:44" ht="15" customHeight="1">
      <c r="A59" s="366"/>
      <c r="B59" s="32"/>
      <c r="C59" s="367"/>
      <c r="D59" s="32"/>
      <c r="E59" s="2">
        <f>IF(E57="","",uitslagen!$B$49)</f>
      </c>
      <c r="F59" s="71"/>
      <c r="G59" s="71">
        <f>IF(E57="","",E57)</f>
      </c>
      <c r="H59" s="490"/>
      <c r="I59" s="490"/>
      <c r="J59" s="490"/>
      <c r="K59" s="490"/>
      <c r="L59" s="490"/>
      <c r="M59" s="491">
        <v>3</v>
      </c>
      <c r="N59" s="492"/>
      <c r="O59" s="12"/>
      <c r="P59" s="12"/>
      <c r="Q59" s="12"/>
      <c r="R59" s="12"/>
      <c r="S59" s="468"/>
      <c r="T59" s="469"/>
      <c r="U59" s="61">
        <f>IF(V59="","",IF(COUNT(O59:T59)&lt;&gt;4,"X",""))</f>
      </c>
      <c r="V59" s="480"/>
      <c r="W59" s="481"/>
      <c r="X59" s="481"/>
      <c r="Y59" s="61">
        <f>IF($V59="","",IF($R$3&gt;$V59,"X",""))</f>
      </c>
      <c r="Z59" s="12"/>
      <c r="AA59" s="11">
        <f>IF(G59="","",IF(OR(AND(V59="",Z59&lt;&gt;""),AND(V59&lt;&gt;"",Z59=""),AND(V59="w",Z59&lt;&gt;"w"),AND(V59="nt",Z59="w"),VLOOKUP($C$3&amp;"-"&amp;G59,'DE4'!$S$10:$AM$24,M59+16,FALSE)="x"),"x",""))</f>
      </c>
      <c r="AB59" s="61"/>
      <c r="AC59" s="61"/>
      <c r="AE59" s="62" t="str">
        <f>IF(AND(COUNT($V59)=1,OR($O59=1,$P59=1,$Q59=1,$R59=1,$S59=1,$T59=1)),INT($V59),"x")</f>
        <v>x</v>
      </c>
      <c r="AF59" s="63">
        <f>IF(AE59="x","",IF(AE59=SMALL($AE$22:$AE$76,1),AE59,""))</f>
      </c>
      <c r="AG59" s="62" t="str">
        <f>IF(AND(COUNT($V59)=1,OR($O59=2,$P59=2,$Q59=2,$R59=2,$S59=2,$T59=2)),INT($V59),"x")</f>
        <v>x</v>
      </c>
      <c r="AH59" s="63">
        <f>IF(AG59="x","",IF(AG59=SMALL($AG$22:$AG$76,1),AG59,""))</f>
      </c>
      <c r="AI59" s="62" t="str">
        <f>IF(AND(COUNT($V59)=1,OR($O59=3,$P59=3,$Q59=3,$R59=3,$S59=3,$T59=3)),INT($V59),"x")</f>
        <v>x</v>
      </c>
      <c r="AJ59" s="63">
        <f>IF(AI59="x","",IF(AI59=SMALL($AI$22:$AI$76,1),AI59,""))</f>
      </c>
      <c r="AK59" s="62" t="str">
        <f>IF(AND(COUNT($V59)=1,OR($O59=4,$P59=4,$Q59=4,$R59=4,$S59=4,$T59=4)),INT($V59),"x")</f>
        <v>x</v>
      </c>
      <c r="AL59" s="63">
        <f>IF(AK59="x","",IF(AK59=SMALL($AK$22:$AK$76,1),AK59,""))</f>
      </c>
      <c r="AM59" s="62" t="str">
        <f>IF(AND(COUNT($V59)=1,OR($O59=5,$P59=5,$Q59=5,$R59=5,$S59=5,$T59=5)),INT($V59),"x")</f>
        <v>x</v>
      </c>
      <c r="AN59" s="63">
        <f>IF(AM59="x","",IF(AM59=SMALL($AM$22:$AM$76,1),AM59,""))</f>
      </c>
      <c r="AO59" s="62" t="str">
        <f>IF(AND(COUNT($V59)=1,OR($O59=6,$P59=6,$Q59=6,$R59=6,$S59=6,$T59=6)),INT($V59),"x")</f>
        <v>x</v>
      </c>
      <c r="AP59" s="63">
        <f>IF(AO59="x","",IF(AO59=SMALL($AO$22:$AO$76,1),AO59,""))</f>
      </c>
      <c r="AQ59" s="64"/>
      <c r="AR59" s="32"/>
    </row>
    <row r="60" spans="1:44" ht="15" customHeight="1">
      <c r="A60" s="366"/>
      <c r="B60" s="32"/>
      <c r="C60" s="367"/>
      <c r="D60" s="32"/>
      <c r="E60" s="71">
        <f>IF(OR(COUNTIF(Z57:Z61,"w")=uitslagen!$H$49,MID(E57,1,1)="T"),2,IF(COUNTIF(Z57:Z61,"l")=uitslagen!$H$49,3,""))</f>
      </c>
      <c r="G60" s="71">
        <f>IF(E57="","",E57)</f>
      </c>
      <c r="H60" s="490"/>
      <c r="I60" s="490"/>
      <c r="J60" s="490"/>
      <c r="K60" s="490"/>
      <c r="L60" s="490"/>
      <c r="M60" s="491">
        <v>4</v>
      </c>
      <c r="N60" s="492"/>
      <c r="O60" s="12"/>
      <c r="P60" s="12"/>
      <c r="Q60" s="12"/>
      <c r="R60" s="12"/>
      <c r="S60" s="468"/>
      <c r="T60" s="469"/>
      <c r="U60" s="61">
        <f>IF(V60="","",IF(COUNT(O60:T60)&lt;&gt;4,"X",""))</f>
      </c>
      <c r="V60" s="480"/>
      <c r="W60" s="481"/>
      <c r="X60" s="481"/>
      <c r="Y60" s="61">
        <f>IF($V60="","",IF($R$3&gt;$V60,"X",""))</f>
      </c>
      <c r="Z60" s="12"/>
      <c r="AA60" s="11">
        <f>IF(G60="","",IF(OR(AND(V60="",Z60&lt;&gt;""),AND(V60&lt;&gt;"",Z60=""),AND(V60="w",Z60&lt;&gt;"w"),AND(V60="nt",Z60="w"),VLOOKUP($C$3&amp;"-"&amp;G60,'DE4'!$S$10:$AM$24,M60+16,FALSE)="x"),"x",""))</f>
      </c>
      <c r="AB60" s="61"/>
      <c r="AC60" s="61"/>
      <c r="AE60" s="62" t="str">
        <f>IF(AND(COUNT($V60)=1,OR($O60=1,$P60=1,$Q60=1,$R60=1,$S60=1,$T60=1)),INT($V60),"x")</f>
        <v>x</v>
      </c>
      <c r="AF60" s="63">
        <f>IF(AE60="x","",IF(AE60=SMALL($AE$22:$AE$76,1),AE60,""))</f>
      </c>
      <c r="AG60" s="62" t="str">
        <f>IF(AND(COUNT($V60)=1,OR($O60=2,$P60=2,$Q60=2,$R60=2,$S60=2,$T60=2)),INT($V60),"x")</f>
        <v>x</v>
      </c>
      <c r="AH60" s="63">
        <f>IF(AG60="x","",IF(AG60=SMALL($AG$22:$AG$76,1),AG60,""))</f>
      </c>
      <c r="AI60" s="62" t="str">
        <f>IF(AND(COUNT($V60)=1,OR($O60=3,$P60=3,$Q60=3,$R60=3,$S60=3,$T60=3)),INT($V60),"x")</f>
        <v>x</v>
      </c>
      <c r="AJ60" s="63">
        <f>IF(AI60="x","",IF(AI60=SMALL($AI$22:$AI$76,1),AI60,""))</f>
      </c>
      <c r="AK60" s="62" t="str">
        <f>IF(AND(COUNT($V60)=1,OR($O60=4,$P60=4,$Q60=4,$R60=4,$S60=4,$T60=4)),INT($V60),"x")</f>
        <v>x</v>
      </c>
      <c r="AL60" s="63">
        <f>IF(AK60="x","",IF(AK60=SMALL($AK$22:$AK$76,1),AK60,""))</f>
      </c>
      <c r="AM60" s="62" t="str">
        <f>IF(AND(COUNT($V60)=1,OR($O60=5,$P60=5,$Q60=5,$R60=5,$S60=5,$T60=5)),INT($V60),"x")</f>
        <v>x</v>
      </c>
      <c r="AN60" s="63">
        <f>IF(AM60="x","",IF(AM60=SMALL($AM$22:$AM$76,1),AM60,""))</f>
      </c>
      <c r="AO60" s="62" t="str">
        <f>IF(AND(COUNT($V60)=1,OR($O60=6,$P60=6,$Q60=6,$R60=6,$S60=6,$T60=6)),INT($V60),"x")</f>
        <v>x</v>
      </c>
      <c r="AP60" s="63">
        <f>IF(AO60="x","",IF(AO60=SMALL($AO$22:$AO$76,1),AO60,""))</f>
      </c>
      <c r="AQ60" s="64"/>
      <c r="AR60" s="32"/>
    </row>
    <row r="61" spans="1:44" ht="15" customHeight="1">
      <c r="A61" s="366"/>
      <c r="B61" s="32"/>
      <c r="C61" s="367"/>
      <c r="D61" s="32"/>
      <c r="E61" s="74">
        <f>IF(E57=6,"FINALE",IF(E57=7,"FINALE  Herkansing",""))</f>
      </c>
      <c r="G61" s="71">
        <f>IF(E57="","",E57)</f>
      </c>
      <c r="H61" s="490"/>
      <c r="I61" s="490"/>
      <c r="J61" s="490"/>
      <c r="K61" s="490"/>
      <c r="L61" s="490"/>
      <c r="M61" s="491">
        <v>5</v>
      </c>
      <c r="N61" s="492"/>
      <c r="O61" s="12"/>
      <c r="P61" s="12"/>
      <c r="Q61" s="12"/>
      <c r="R61" s="12"/>
      <c r="S61" s="468"/>
      <c r="T61" s="469"/>
      <c r="U61" s="61">
        <f>IF(V61="","",IF(COUNT(O61:T61)&lt;&gt;4,"X",""))</f>
      </c>
      <c r="V61" s="480"/>
      <c r="W61" s="481"/>
      <c r="X61" s="481"/>
      <c r="Y61" s="61">
        <f>IF($V61="","",IF($R$3&gt;$V61,"X",""))</f>
      </c>
      <c r="Z61" s="12"/>
      <c r="AA61" s="11">
        <f>IF(G61="","",IF(OR(AND(V61="",Z61&lt;&gt;""),AND(V61&lt;&gt;"",Z61=""),AND(V61="w",Z61&lt;&gt;"w"),AND(V61="nt",Z61="w"),VLOOKUP($C$3&amp;"-"&amp;G61,'DE4'!$S$10:$AM$24,M61+16,FALSE)="x"),"x",""))</f>
      </c>
      <c r="AB61" s="61"/>
      <c r="AC61" s="61"/>
      <c r="AE61" s="65" t="str">
        <f>IF(AND(COUNT($V61)=1,OR($O61=1,$P61=1,$Q61=1,$R61=1,$S61=1,$T61=1)),INT($V61),"x")</f>
        <v>x</v>
      </c>
      <c r="AF61" s="66">
        <f>IF(AE61="x","",IF(AE61=SMALL($AE$22:$AE$76,1),AE61,""))</f>
      </c>
      <c r="AG61" s="65" t="str">
        <f>IF(AND(COUNT($V61)=1,OR($O61=2,$P61=2,$Q61=2,$R61=2,$S61=2,$T61=2)),INT($V61),"x")</f>
        <v>x</v>
      </c>
      <c r="AH61" s="63">
        <f>IF(AG61="x","",IF(AG61=SMALL($AG$22:$AG$76,1),AG61,""))</f>
      </c>
      <c r="AI61" s="65" t="str">
        <f>IF(AND(COUNT($V61)=1,OR($O61=3,$P61=3,$Q61=3,$R61=3,$S61=3,$T61=3)),INT($V61),"x")</f>
        <v>x</v>
      </c>
      <c r="AJ61" s="63">
        <f>IF(AI61="x","",IF(AI61=SMALL($AI$22:$AI$76,1),AI61,""))</f>
      </c>
      <c r="AK61" s="65" t="str">
        <f>IF(AND(COUNT($V61)=1,OR($O61=4,$P61=4,$Q61=4,$R61=4,$S61=4,$T61=4)),INT($V61),"x")</f>
        <v>x</v>
      </c>
      <c r="AL61" s="63">
        <f>IF(AK61="x","",IF(AK61=SMALL($AK$22:$AK$76,1),AK61,""))</f>
      </c>
      <c r="AM61" s="65" t="str">
        <f>IF(AND(COUNT($V61)=1,OR($O61=5,$P61=5,$Q61=5,$R61=5,$S61=5,$T61=5)),INT($V61),"x")</f>
        <v>x</v>
      </c>
      <c r="AN61" s="63">
        <f>IF(AM61="x","",IF(AM61=SMALL($AM$22:$AM$76,1),AM61,""))</f>
      </c>
      <c r="AO61" s="65" t="str">
        <f>IF(AND(COUNT($V61)=1,OR($O61=6,$P61=6,$Q61=6,$R61=6,$S61=6,$T61=6)),INT($V61),"x")</f>
        <v>x</v>
      </c>
      <c r="AP61" s="63">
        <f>IF(AO61="x","",IF(AO61=SMALL($AO$22:$AO$76,1),AO61,""))</f>
      </c>
      <c r="AQ61" s="64"/>
      <c r="AR61" s="32"/>
    </row>
    <row r="62" spans="1:42" ht="3.75" customHeight="1">
      <c r="A62" s="366"/>
      <c r="B62" s="32"/>
      <c r="C62" s="367"/>
      <c r="E62" s="67"/>
      <c r="F62" s="67"/>
      <c r="G62" s="73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87"/>
      <c r="W62" s="487"/>
      <c r="X62" s="487"/>
      <c r="Y62" s="67"/>
      <c r="Z62" s="76"/>
      <c r="AA62" s="68"/>
      <c r="AB62" s="61"/>
      <c r="AC62" s="61"/>
      <c r="AE62" s="69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1:44" ht="15" customHeight="1">
      <c r="A63" s="366"/>
      <c r="B63" s="32"/>
      <c r="C63" s="367"/>
      <c r="D63" s="32"/>
      <c r="E63" s="55" t="str">
        <f>VLOOKUP("race",'[1]Strings'!$A$3:$K$102,'[1]Strings'!$A$1,FALSE)</f>
        <v>Rennen</v>
      </c>
      <c r="F63" s="55" t="str">
        <f>VLOOKUP("baan / piste",'[1]Strings'!$A$3:$K$102,'[1]Strings'!$A$1,FALSE)</f>
        <v>Bahn</v>
      </c>
      <c r="G63" s="55"/>
      <c r="H63" s="476" t="str">
        <f>VLOOKUP("tegen / contre",'[1]Strings'!$A$3:$K$102,'[1]Strings'!$A$1,FALSE)</f>
        <v>gegen</v>
      </c>
      <c r="I63" s="476"/>
      <c r="J63" s="476"/>
      <c r="K63" s="476"/>
      <c r="L63" s="477"/>
      <c r="M63" s="477" t="str">
        <f>VLOOKUP("heat",'[1]Strings'!$A$3:$K$102,'[1]Strings'!$A$1,FALSE)</f>
        <v>Lauf</v>
      </c>
      <c r="N63" s="477"/>
      <c r="O63" s="476" t="str">
        <f>VLOOKUP("Honden / chiens",'[1]Strings'!$A$3:$K$102,'[1]Strings'!$A$1,FALSE)</f>
        <v>Hunde</v>
      </c>
      <c r="P63" s="476"/>
      <c r="Q63" s="476"/>
      <c r="R63" s="476"/>
      <c r="S63" s="476"/>
      <c r="T63" s="476"/>
      <c r="U63" s="162" t="str">
        <f>VLOOKUP("          Tijd/temps",'[1]Strings'!$A$3:$K$102,'[1]Strings'!$A$1,FALSE)</f>
        <v>           Zeit</v>
      </c>
      <c r="V63" s="163"/>
      <c r="W63" s="163"/>
      <c r="X63" s="163"/>
      <c r="Y63" s="161" t="str">
        <f>VLOOKUP("    W / L / T",'[1]Strings'!$A$3:$K$102,'[1]Strings'!$A$1,FALSE)</f>
        <v>    W/L/T</v>
      </c>
      <c r="Z63" s="55"/>
      <c r="AA63" s="68"/>
      <c r="AB63" s="61"/>
      <c r="AC63" s="61"/>
      <c r="AD63" s="55"/>
      <c r="AE63" s="70"/>
      <c r="AF63" s="67"/>
      <c r="AG63" s="70"/>
      <c r="AH63" s="67"/>
      <c r="AI63" s="70"/>
      <c r="AJ63" s="67"/>
      <c r="AK63" s="70"/>
      <c r="AL63" s="67"/>
      <c r="AM63" s="70"/>
      <c r="AN63" s="67"/>
      <c r="AO63" s="70"/>
      <c r="AP63" s="67"/>
      <c r="AQ63" s="565"/>
      <c r="AR63" s="478"/>
    </row>
    <row r="64" spans="1:44" ht="15" customHeight="1">
      <c r="A64" s="366"/>
      <c r="B64" s="32"/>
      <c r="C64" s="367"/>
      <c r="D64" s="32"/>
      <c r="E64" s="488">
        <f>IF(OR(E60="",E57=""),"",VLOOKUP(E50&amp;"-"&amp;E57,'DE4'!$AX$10:$AZ$25,E60,FALSE))</f>
      </c>
      <c r="F64" s="59">
        <f>IF(E64="","",IF(VLOOKUP($C$3&amp;"-"&amp;E64,'DE4'!$S$10:$AS$24,27,FALSE)="Rood",VLOOKUP("Rood / Rouge",'[1]Strings'!$A$3:$K$102,'[1]Strings'!$A$1,FALSE),""))</f>
      </c>
      <c r="G64" s="71">
        <f>IF(E64="","",E64)</f>
      </c>
      <c r="H64" s="478">
        <f>IF(E64="","",VLOOKUP($C$3&amp;"-"&amp;E64,'DE4'!$S$10:$AR$24,26,FALSE))</f>
      </c>
      <c r="I64" s="478"/>
      <c r="J64" s="478"/>
      <c r="K64" s="478"/>
      <c r="L64" s="479"/>
      <c r="M64" s="491">
        <v>1</v>
      </c>
      <c r="N64" s="492"/>
      <c r="O64" s="12"/>
      <c r="P64" s="12"/>
      <c r="Q64" s="12"/>
      <c r="R64" s="12"/>
      <c r="S64" s="468"/>
      <c r="T64" s="469"/>
      <c r="U64" s="61">
        <f>IF(V64="","",IF(COUNT(O64:T64)&lt;&gt;4,"X",""))</f>
      </c>
      <c r="V64" s="480"/>
      <c r="W64" s="481"/>
      <c r="X64" s="481"/>
      <c r="Y64" s="61">
        <f>IF($V64="","",IF($R$3&gt;$V64,"X",""))</f>
      </c>
      <c r="Z64" s="12"/>
      <c r="AA64" s="11">
        <f>IF(G64="","",IF(OR(AND(V64="",Z64&lt;&gt;""),AND(V64&lt;&gt;"",Z64=""),AND(V64="w",Z64&lt;&gt;"w"),AND(V64="nt",Z64="w"),VLOOKUP($C$3&amp;"-"&amp;G64,'DE4'!$S$10:$AM$24,M64+16,FALSE)="x"),"x",""))</f>
      </c>
      <c r="AB64" s="61"/>
      <c r="AC64" s="61"/>
      <c r="AE64" s="62" t="str">
        <f>IF(AND(COUNT($V64)=1,OR($O64=1,$P64=1,$Q64=1,$R64=1,$S64=1,$T64=1)),INT($V64),"x")</f>
        <v>x</v>
      </c>
      <c r="AF64" s="63">
        <f>IF(AE64="x","",IF(AE64=SMALL($AE$22:$AE$76,1),AE64,""))</f>
      </c>
      <c r="AG64" s="62" t="str">
        <f>IF(AND(COUNT($V64)=1,OR($O64=2,$P64=2,$Q64=2,$R64=2,$S64=2,$T64=2)),INT($V64),"x")</f>
        <v>x</v>
      </c>
      <c r="AH64" s="63">
        <f>IF(AG64="x","",IF(AG64=SMALL($AG$22:$AG$76,1),AG64,""))</f>
      </c>
      <c r="AI64" s="62" t="str">
        <f>IF(AND(COUNT($V64)=1,OR($O64=3,$P64=3,$Q64=3,$R64=3,$S64=3,$T64=3)),INT($V64),"x")</f>
        <v>x</v>
      </c>
      <c r="AJ64" s="63">
        <f>IF(AI64="x","",IF(AI64=SMALL($AI$22:$AI$76,1),AI64,""))</f>
      </c>
      <c r="AK64" s="62" t="str">
        <f>IF(AND(COUNT($V64)=1,OR($O64=4,$P64=4,$Q64=4,$R64=4,$S64=4,$T64=4)),INT($V64),"x")</f>
        <v>x</v>
      </c>
      <c r="AL64" s="63">
        <f>IF(AK64="x","",IF(AK64=SMALL($AK$22:$AK$76,1),AK64,""))</f>
      </c>
      <c r="AM64" s="62" t="str">
        <f>IF(AND(COUNT($V64)=1,OR($O64=5,$P64=5,$Q64=5,$R64=5,$S64=5,$T64=5)),INT($V64),"x")</f>
        <v>x</v>
      </c>
      <c r="AN64" s="63">
        <f>IF(AM64="x","",IF(AM64=SMALL($AM$22:$AM$76,1),AM64,""))</f>
      </c>
      <c r="AO64" s="62" t="str">
        <f>IF(AND(COUNT($V64)=1,OR($O64=6,$P64=6,$Q64=6,$R64=6,$S64=6,$T64=6)),INT($V64),"x")</f>
        <v>x</v>
      </c>
      <c r="AP64" s="63">
        <f>IF(AO64="x","",IF(AO64=SMALL($AO$22:$AO$76,1),AO64,""))</f>
      </c>
      <c r="AQ64" s="64"/>
      <c r="AR64" s="32"/>
    </row>
    <row r="65" spans="1:44" ht="15" customHeight="1">
      <c r="A65" s="366"/>
      <c r="B65" s="32"/>
      <c r="C65" s="367"/>
      <c r="D65" s="32"/>
      <c r="E65" s="489"/>
      <c r="F65" s="59">
        <f>IF(E64="","",IF(VLOOKUP($C$3&amp;"-"&amp;E64,'DE4'!$S$10:$AS$24,27,FALSE)="Blauw",VLOOKUP("Blauw / Bleu",'[1]Strings'!$A$3:$K$102,'[1]Strings'!$A$1,FALSE),""))</f>
      </c>
      <c r="G65" s="71">
        <f>IF(E64="","",E64)</f>
      </c>
      <c r="H65" s="490">
        <f>IF(OR(U64="x",Y64="x",AA64="x"),"CONTROLEER INVOER       HEAT 1",IF(OR(U65="x",Y65="x",AA65="x"),"CONTROLEER INVOER       HEAT 2",IF(OR(U66="x",Y66="x",AA66="x"),"CONTROLEER INVOER       HEAT 3",IF(OR(U67="x",Y67="x",AA67="x"),"CONTROLEER INVOER       HEAT 4",IF(OR(U68="x",Y68="x",AA68="x"),"CONTROLEER INVOER       HEAT 5","")))))</f>
      </c>
      <c r="I65" s="490"/>
      <c r="J65" s="490"/>
      <c r="K65" s="490"/>
      <c r="L65" s="490"/>
      <c r="M65" s="491">
        <v>2</v>
      </c>
      <c r="N65" s="492"/>
      <c r="O65" s="12"/>
      <c r="P65" s="12"/>
      <c r="Q65" s="12"/>
      <c r="R65" s="12"/>
      <c r="S65" s="468"/>
      <c r="T65" s="469"/>
      <c r="U65" s="61">
        <f>IF(V65="","",IF(COUNT(O65:T65)&lt;&gt;4,"X",""))</f>
      </c>
      <c r="V65" s="480"/>
      <c r="W65" s="481"/>
      <c r="X65" s="481"/>
      <c r="Y65" s="61">
        <f>IF($V65="","",IF($R$3&gt;$V65,"X",""))</f>
      </c>
      <c r="Z65" s="12"/>
      <c r="AA65" s="11">
        <f>IF(G65="","",IF(OR(AND(V65="",Z65&lt;&gt;""),AND(V65&lt;&gt;"",Z65=""),AND(V65="w",Z65&lt;&gt;"w"),AND(V65="nt",Z65="w"),VLOOKUP($C$3&amp;"-"&amp;G65,'DE4'!$S$10:$AM$24,M65+16,FALSE)="x"),"x",""))</f>
      </c>
      <c r="AB65" s="61"/>
      <c r="AC65" s="61"/>
      <c r="AE65" s="62" t="str">
        <f>IF(AND(COUNT($V65)=1,OR($O65=1,$P65=1,$Q65=1,$R65=1,$S65=1,$T65=1)),INT($V65),"x")</f>
        <v>x</v>
      </c>
      <c r="AF65" s="63">
        <f>IF(AE65="x","",IF(AE65=SMALL($AE$22:$AE$76,1),AE65,""))</f>
      </c>
      <c r="AG65" s="62" t="str">
        <f>IF(AND(COUNT($V65)=1,OR($O65=2,$P65=2,$Q65=2,$R65=2,$S65=2,$T65=2)),INT($V65),"x")</f>
        <v>x</v>
      </c>
      <c r="AH65" s="63">
        <f>IF(AG65="x","",IF(AG65=SMALL($AG$22:$AG$76,1),AG65,""))</f>
      </c>
      <c r="AI65" s="62" t="str">
        <f>IF(AND(COUNT($V65)=1,OR($O65=3,$P65=3,$Q65=3,$R65=3,$S65=3,$T65=3)),INT($V65),"x")</f>
        <v>x</v>
      </c>
      <c r="AJ65" s="63">
        <f>IF(AI65="x","",IF(AI65=SMALL($AI$22:$AI$76,1),AI65,""))</f>
      </c>
      <c r="AK65" s="62" t="str">
        <f>IF(AND(COUNT($V65)=1,OR($O65=4,$P65=4,$Q65=4,$R65=4,$S65=4,$T65=4)),INT($V65),"x")</f>
        <v>x</v>
      </c>
      <c r="AL65" s="63">
        <f>IF(AK65="x","",IF(AK65=SMALL($AK$22:$AK$76,1),AK65,""))</f>
      </c>
      <c r="AM65" s="62" t="str">
        <f>IF(AND(COUNT($V65)=1,OR($O65=5,$P65=5,$Q65=5,$R65=5,$S65=5,$T65=5)),INT($V65),"x")</f>
        <v>x</v>
      </c>
      <c r="AN65" s="63">
        <f>IF(AM65="x","",IF(AM65=SMALL($AM$22:$AM$76,1),AM65,""))</f>
      </c>
      <c r="AO65" s="62" t="str">
        <f>IF(AND(COUNT($V65)=1,OR($O65=6,$P65=6,$Q65=6,$R65=6,$S65=6,$T65=6)),INT($V65),"x")</f>
        <v>x</v>
      </c>
      <c r="AP65" s="63">
        <f>IF(AO65="x","",IF(AO65=SMALL($AO$22:$AO$76,1),AO65,""))</f>
      </c>
      <c r="AQ65" s="64"/>
      <c r="AR65" s="32"/>
    </row>
    <row r="66" spans="1:44" ht="15" customHeight="1">
      <c r="A66" s="366"/>
      <c r="B66" s="32"/>
      <c r="C66" s="367"/>
      <c r="D66" s="32"/>
      <c r="E66" s="2">
        <f>IF(E64="","",uitslagen!$B$49)</f>
      </c>
      <c r="F66" s="71"/>
      <c r="G66" s="71">
        <f>IF(E64="","",E64)</f>
      </c>
      <c r="H66" s="490"/>
      <c r="I66" s="490"/>
      <c r="J66" s="490"/>
      <c r="K66" s="490"/>
      <c r="L66" s="490"/>
      <c r="M66" s="491">
        <v>3</v>
      </c>
      <c r="N66" s="492"/>
      <c r="O66" s="12"/>
      <c r="P66" s="12"/>
      <c r="Q66" s="12"/>
      <c r="R66" s="12"/>
      <c r="S66" s="468"/>
      <c r="T66" s="469"/>
      <c r="U66" s="61">
        <f>IF(V66="","",IF(COUNT(O66:T66)&lt;&gt;4,"X",""))</f>
      </c>
      <c r="V66" s="480"/>
      <c r="W66" s="481"/>
      <c r="X66" s="481"/>
      <c r="Y66" s="61">
        <f>IF($V66="","",IF($R$3&gt;$V66,"X",""))</f>
      </c>
      <c r="Z66" s="12"/>
      <c r="AA66" s="11">
        <f>IF(G66="","",IF(OR(AND(V66="",Z66&lt;&gt;""),AND(V66&lt;&gt;"",Z66=""),AND(V66="w",Z66&lt;&gt;"w"),AND(V66="nt",Z66="w"),VLOOKUP($C$3&amp;"-"&amp;G66,'DE4'!$S$10:$AM$24,M66+16,FALSE)="x"),"x",""))</f>
      </c>
      <c r="AB66" s="61"/>
      <c r="AC66" s="61"/>
      <c r="AE66" s="62" t="str">
        <f>IF(AND(COUNT($V66)=1,OR($O66=1,$P66=1,$Q66=1,$R66=1,$S66=1,$T66=1)),INT($V66),"x")</f>
        <v>x</v>
      </c>
      <c r="AF66" s="63">
        <f>IF(AE66="x","",IF(AE66=SMALL($AE$22:$AE$76,1),AE66,""))</f>
      </c>
      <c r="AG66" s="62" t="str">
        <f>IF(AND(COUNT($V66)=1,OR($O66=2,$P66=2,$Q66=2,$R66=2,$S66=2,$T66=2)),INT($V66),"x")</f>
        <v>x</v>
      </c>
      <c r="AH66" s="63">
        <f>IF(AG66="x","",IF(AG66=SMALL($AG$22:$AG$76,1),AG66,""))</f>
      </c>
      <c r="AI66" s="62" t="str">
        <f>IF(AND(COUNT($V66)=1,OR($O66=3,$P66=3,$Q66=3,$R66=3,$S66=3,$T66=3)),INT($V66),"x")</f>
        <v>x</v>
      </c>
      <c r="AJ66" s="63">
        <f>IF(AI66="x","",IF(AI66=SMALL($AI$22:$AI$76,1),AI66,""))</f>
      </c>
      <c r="AK66" s="62" t="str">
        <f>IF(AND(COUNT($V66)=1,OR($O66=4,$P66=4,$Q66=4,$R66=4,$S66=4,$T66=4)),INT($V66),"x")</f>
        <v>x</v>
      </c>
      <c r="AL66" s="63">
        <f>IF(AK66="x","",IF(AK66=SMALL($AK$22:$AK$76,1),AK66,""))</f>
      </c>
      <c r="AM66" s="62" t="str">
        <f>IF(AND(COUNT($V66)=1,OR($O66=5,$P66=5,$Q66=5,$R66=5,$S66=5,$T66=5)),INT($V66),"x")</f>
        <v>x</v>
      </c>
      <c r="AN66" s="63">
        <f>IF(AM66="x","",IF(AM66=SMALL($AM$22:$AM$76,1),AM66,""))</f>
      </c>
      <c r="AO66" s="62" t="str">
        <f>IF(AND(COUNT($V66)=1,OR($O66=6,$P66=6,$Q66=6,$R66=6,$S66=6,$T66=6)),INT($V66),"x")</f>
        <v>x</v>
      </c>
      <c r="AP66" s="63">
        <f>IF(AO66="x","",IF(AO66=SMALL($AO$22:$AO$76,1),AO66,""))</f>
      </c>
      <c r="AQ66" s="64"/>
      <c r="AR66" s="32"/>
    </row>
    <row r="67" spans="1:44" ht="15" customHeight="1">
      <c r="A67" s="366"/>
      <c r="B67" s="32"/>
      <c r="C67" s="367"/>
      <c r="D67" s="32"/>
      <c r="E67" s="71">
        <f>IF(OR(COUNTIF(Z64:Z68,"w")=uitslagen!$H$49,MID(E64,1,1)="T"),2,IF(COUNTIF(Z64:Z68,"l")=uitslagen!$H$49,3,""))</f>
      </c>
      <c r="G67" s="71">
        <f>IF(E64="","",E64)</f>
      </c>
      <c r="H67" s="490"/>
      <c r="I67" s="490"/>
      <c r="J67" s="490"/>
      <c r="K67" s="490"/>
      <c r="L67" s="490"/>
      <c r="M67" s="491">
        <v>4</v>
      </c>
      <c r="N67" s="492"/>
      <c r="O67" s="12"/>
      <c r="P67" s="12"/>
      <c r="Q67" s="12"/>
      <c r="R67" s="12"/>
      <c r="S67" s="468"/>
      <c r="T67" s="469"/>
      <c r="U67" s="61">
        <f>IF(V67="","",IF(COUNT(O67:T67)&lt;&gt;4,"X",""))</f>
      </c>
      <c r="V67" s="480"/>
      <c r="W67" s="481"/>
      <c r="X67" s="481"/>
      <c r="Y67" s="61">
        <f>IF($V67="","",IF($R$3&gt;$V67,"X",""))</f>
      </c>
      <c r="Z67" s="12"/>
      <c r="AA67" s="11">
        <f>IF(G67="","",IF(OR(AND(V67="",Z67&lt;&gt;""),AND(V67&lt;&gt;"",Z67=""),AND(V67="w",Z67&lt;&gt;"w"),AND(V67="nt",Z67="w"),VLOOKUP($C$3&amp;"-"&amp;G67,'DE4'!$S$10:$AM$24,M67+16,FALSE)="x"),"x",""))</f>
      </c>
      <c r="AB67" s="61"/>
      <c r="AC67" s="61"/>
      <c r="AE67" s="62" t="str">
        <f>IF(AND(COUNT($V67)=1,OR($O67=1,$P67=1,$Q67=1,$R67=1,$S67=1,$T67=1)),INT($V67),"x")</f>
        <v>x</v>
      </c>
      <c r="AF67" s="63">
        <f>IF(AE67="x","",IF(AE67=SMALL($AE$22:$AE$76,1),AE67,""))</f>
      </c>
      <c r="AG67" s="62" t="str">
        <f>IF(AND(COUNT($V67)=1,OR($O67=2,$P67=2,$Q67=2,$R67=2,$S67=2,$T67=2)),INT($V67),"x")</f>
        <v>x</v>
      </c>
      <c r="AH67" s="63">
        <f>IF(AG67="x","",IF(AG67=SMALL($AG$22:$AG$76,1),AG67,""))</f>
      </c>
      <c r="AI67" s="62" t="str">
        <f>IF(AND(COUNT($V67)=1,OR($O67=3,$P67=3,$Q67=3,$R67=3,$S67=3,$T67=3)),INT($V67),"x")</f>
        <v>x</v>
      </c>
      <c r="AJ67" s="63">
        <f>IF(AI67="x","",IF(AI67=SMALL($AI$22:$AI$76,1),AI67,""))</f>
      </c>
      <c r="AK67" s="62" t="str">
        <f>IF(AND(COUNT($V67)=1,OR($O67=4,$P67=4,$Q67=4,$R67=4,$S67=4,$T67=4)),INT($V67),"x")</f>
        <v>x</v>
      </c>
      <c r="AL67" s="63">
        <f>IF(AK67="x","",IF(AK67=SMALL($AK$22:$AK$76,1),AK67,""))</f>
      </c>
      <c r="AM67" s="62" t="str">
        <f>IF(AND(COUNT($V67)=1,OR($O67=5,$P67=5,$Q67=5,$R67=5,$S67=5,$T67=5)),INT($V67),"x")</f>
        <v>x</v>
      </c>
      <c r="AN67" s="63">
        <f>IF(AM67="x","",IF(AM67=SMALL($AM$22:$AM$76,1),AM67,""))</f>
      </c>
      <c r="AO67" s="62" t="str">
        <f>IF(AND(COUNT($V67)=1,OR($O67=6,$P67=6,$Q67=6,$R67=6,$S67=6,$T67=6)),INT($V67),"x")</f>
        <v>x</v>
      </c>
      <c r="AP67" s="63">
        <f>IF(AO67="x","",IF(AO67=SMALL($AO$22:$AO$76,1),AO67,""))</f>
      </c>
      <c r="AQ67" s="64"/>
      <c r="AR67" s="32"/>
    </row>
    <row r="68" spans="1:44" ht="15" customHeight="1">
      <c r="A68" s="366"/>
      <c r="B68" s="32"/>
      <c r="C68" s="367"/>
      <c r="D68" s="32"/>
      <c r="E68" s="74">
        <f>IF(E64=6,"FINALE",IF(E64=7,"FINALE  Herkansing",""))</f>
      </c>
      <c r="G68" s="71">
        <f>IF(E64="","",E64)</f>
      </c>
      <c r="H68" s="490"/>
      <c r="I68" s="490"/>
      <c r="J68" s="490"/>
      <c r="K68" s="490"/>
      <c r="L68" s="490"/>
      <c r="M68" s="491">
        <v>5</v>
      </c>
      <c r="N68" s="492"/>
      <c r="O68" s="12"/>
      <c r="P68" s="12"/>
      <c r="Q68" s="12"/>
      <c r="R68" s="12"/>
      <c r="S68" s="468"/>
      <c r="T68" s="469"/>
      <c r="U68" s="61">
        <f>IF(V68="","",IF(COUNT(O68:T68)&lt;&gt;4,"X",""))</f>
      </c>
      <c r="V68" s="480"/>
      <c r="W68" s="481"/>
      <c r="X68" s="481"/>
      <c r="Y68" s="61">
        <f>IF($V68="","",IF($R$3&gt;$V68,"X",""))</f>
      </c>
      <c r="Z68" s="12"/>
      <c r="AA68" s="11">
        <f>IF(G68="","",IF(OR(AND(V68="",Z68&lt;&gt;""),AND(V68&lt;&gt;"",Z68=""),AND(V68="w",Z68&lt;&gt;"w"),AND(V68="nt",Z68="w"),VLOOKUP($C$3&amp;"-"&amp;G68,'DE4'!$S$10:$AM$24,M68+16,FALSE)="x"),"x",""))</f>
      </c>
      <c r="AB68" s="61"/>
      <c r="AC68" s="61"/>
      <c r="AE68" s="65" t="str">
        <f>IF(AND(COUNT($V68)=1,OR($O68=1,$P68=1,$Q68=1,$R68=1,$S68=1,$T68=1)),INT($V68),"x")</f>
        <v>x</v>
      </c>
      <c r="AF68" s="66">
        <f>IF(AE68="x","",IF(AE68=SMALL($AE$22:$AE$76,1),AE68,""))</f>
      </c>
      <c r="AG68" s="65" t="str">
        <f>IF(AND(COUNT($V68)=1,OR($O68=2,$P68=2,$Q68=2,$R68=2,$S68=2,$T68=2)),INT($V68),"x")</f>
        <v>x</v>
      </c>
      <c r="AH68" s="63">
        <f>IF(AG68="x","",IF(AG68=SMALL($AG$22:$AG$76,1),AG68,""))</f>
      </c>
      <c r="AI68" s="65" t="str">
        <f>IF(AND(COUNT($V68)=1,OR($O68=3,$P68=3,$Q68=3,$R68=3,$S68=3,$T68=3)),INT($V68),"x")</f>
        <v>x</v>
      </c>
      <c r="AJ68" s="63">
        <f>IF(AI68="x","",IF(AI68=SMALL($AI$22:$AI$76,1),AI68,""))</f>
      </c>
      <c r="AK68" s="65" t="str">
        <f>IF(AND(COUNT($V68)=1,OR($O68=4,$P68=4,$Q68=4,$R68=4,$S68=4,$T68=4)),INT($V68),"x")</f>
        <v>x</v>
      </c>
      <c r="AL68" s="63">
        <f>IF(AK68="x","",IF(AK68=SMALL($AK$22:$AK$76,1),AK68,""))</f>
      </c>
      <c r="AM68" s="65" t="str">
        <f>IF(AND(COUNT($V68)=1,OR($O68=5,$P68=5,$Q68=5,$R68=5,$S68=5,$T68=5)),INT($V68),"x")</f>
        <v>x</v>
      </c>
      <c r="AN68" s="63">
        <f>IF(AM68="x","",IF(AM68=SMALL($AM$22:$AM$76,1),AM68,""))</f>
      </c>
      <c r="AO68" s="65" t="str">
        <f>IF(AND(COUNT($V68)=1,OR($O68=6,$P68=6,$Q68=6,$R68=6,$S68=6,$T68=6)),INT($V68),"x")</f>
        <v>x</v>
      </c>
      <c r="AP68" s="63">
        <f>IF(AO68="x","",IF(AO68=SMALL($AO$22:$AO$76,1),AO68,""))</f>
      </c>
      <c r="AQ68" s="64"/>
      <c r="AR68" s="32"/>
    </row>
    <row r="69" spans="1:42" ht="3.75" customHeight="1">
      <c r="A69" s="366"/>
      <c r="B69" s="32"/>
      <c r="C69" s="367"/>
      <c r="E69" s="67"/>
      <c r="F69" s="67"/>
      <c r="G69" s="73"/>
      <c r="H69" s="67"/>
      <c r="I69" s="67"/>
      <c r="J69" s="67"/>
      <c r="K69" s="67"/>
      <c r="L69" s="67"/>
      <c r="M69" s="67"/>
      <c r="N69" s="67"/>
      <c r="O69" s="76"/>
      <c r="P69" s="76"/>
      <c r="Q69" s="76"/>
      <c r="R69" s="76"/>
      <c r="S69" s="76"/>
      <c r="T69" s="76"/>
      <c r="U69" s="67"/>
      <c r="V69" s="487"/>
      <c r="W69" s="487"/>
      <c r="X69" s="487"/>
      <c r="Y69" s="67"/>
      <c r="Z69" s="76"/>
      <c r="AA69" s="68"/>
      <c r="AB69" s="61"/>
      <c r="AC69" s="61"/>
      <c r="AE69" s="69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44" ht="15" customHeight="1">
      <c r="A70" s="366"/>
      <c r="B70" s="32"/>
      <c r="C70" s="367"/>
      <c r="D70" s="32"/>
      <c r="E70" s="55" t="str">
        <f>VLOOKUP("race",'[1]Strings'!$A$3:$K$102,'[1]Strings'!$A$1,FALSE)</f>
        <v>Rennen</v>
      </c>
      <c r="F70" s="55" t="str">
        <f>VLOOKUP("baan / piste",'[1]Strings'!$A$3:$K$102,'[1]Strings'!$A$1,FALSE)</f>
        <v>Bahn</v>
      </c>
      <c r="G70" s="55"/>
      <c r="H70" s="476" t="str">
        <f>VLOOKUP("tegen / contre",'[1]Strings'!$A$3:$K$102,'[1]Strings'!$A$1,FALSE)</f>
        <v>gegen</v>
      </c>
      <c r="I70" s="476"/>
      <c r="J70" s="476"/>
      <c r="K70" s="476"/>
      <c r="L70" s="477"/>
      <c r="M70" s="477" t="str">
        <f>VLOOKUP("heat",'[1]Strings'!$A$3:$K$102,'[1]Strings'!$A$1,FALSE)</f>
        <v>Lauf</v>
      </c>
      <c r="N70" s="477"/>
      <c r="O70" s="476" t="str">
        <f>VLOOKUP("Honden / chiens",'[1]Strings'!$A$3:$K$102,'[1]Strings'!$A$1,FALSE)</f>
        <v>Hunde</v>
      </c>
      <c r="P70" s="476"/>
      <c r="Q70" s="476"/>
      <c r="R70" s="476"/>
      <c r="S70" s="476"/>
      <c r="T70" s="476"/>
      <c r="U70" s="162" t="str">
        <f>VLOOKUP("          Tijd/temps",'[1]Strings'!$A$3:$K$102,'[1]Strings'!$A$1,FALSE)</f>
        <v>           Zeit</v>
      </c>
      <c r="V70" s="163"/>
      <c r="W70" s="163"/>
      <c r="X70" s="163"/>
      <c r="Y70" s="161" t="str">
        <f>VLOOKUP("    W / L / T",'[1]Strings'!$A$3:$K$102,'[1]Strings'!$A$1,FALSE)</f>
        <v>    W/L/T</v>
      </c>
      <c r="Z70" s="55"/>
      <c r="AA70" s="68"/>
      <c r="AB70" s="61"/>
      <c r="AC70" s="61"/>
      <c r="AD70" s="55"/>
      <c r="AE70" s="70"/>
      <c r="AF70" s="67"/>
      <c r="AG70" s="70"/>
      <c r="AH70" s="67"/>
      <c r="AI70" s="70"/>
      <c r="AJ70" s="67"/>
      <c r="AK70" s="70"/>
      <c r="AL70" s="67"/>
      <c r="AM70" s="70"/>
      <c r="AN70" s="67"/>
      <c r="AO70" s="70"/>
      <c r="AP70" s="67"/>
      <c r="AQ70" s="565"/>
      <c r="AR70" s="478"/>
    </row>
    <row r="71" spans="1:44" ht="15" customHeight="1">
      <c r="A71" s="366"/>
      <c r="B71" s="32"/>
      <c r="C71" s="367"/>
      <c r="D71" s="32"/>
      <c r="E71" s="488">
        <f>IF(OR(E67="",E64=""),"",VLOOKUP(E57&amp;"-"&amp;E64,'DE4'!$AX$10:$AZ$25,E67,FALSE))</f>
      </c>
      <c r="F71" s="59">
        <f>IF(E71="","",IF(VLOOKUP($C$3&amp;"-"&amp;E71,'DE4'!$S$10:$AS$24,27,FALSE)="Rood",VLOOKUP("Rood / Rouge",'[1]Strings'!$A$3:$K$102,'[1]Strings'!$A$1,FALSE),""))</f>
      </c>
      <c r="G71" s="71">
        <f>IF(E71="","",E71)</f>
      </c>
      <c r="H71" s="478">
        <f>IF(E71="","",VLOOKUP($C$3&amp;"-"&amp;E71,'DE4'!$S$10:$AR$24,26,FALSE))</f>
      </c>
      <c r="I71" s="478"/>
      <c r="J71" s="478"/>
      <c r="K71" s="478"/>
      <c r="L71" s="479"/>
      <c r="M71" s="491">
        <v>1</v>
      </c>
      <c r="N71" s="492"/>
      <c r="O71" s="12"/>
      <c r="P71" s="12"/>
      <c r="Q71" s="12"/>
      <c r="R71" s="12"/>
      <c r="S71" s="468"/>
      <c r="T71" s="469"/>
      <c r="U71" s="61">
        <f>IF(V71="","",IF(COUNT(O71:T71)&lt;&gt;4,"X",""))</f>
      </c>
      <c r="V71" s="480"/>
      <c r="W71" s="481"/>
      <c r="X71" s="481"/>
      <c r="Y71" s="61">
        <f>IF($V71="","",IF($R$3&gt;$V71,"X",""))</f>
      </c>
      <c r="Z71" s="12"/>
      <c r="AA71" s="11">
        <f>IF(G71="","",IF(OR(AND(V71="",Z71&lt;&gt;""),AND(V71&lt;&gt;"",Z71=""),AND(V71="w",Z71&lt;&gt;"w"),AND(V71="nt",Z71="w"),VLOOKUP($C$3&amp;"-"&amp;G71,'DE4'!$S$10:$AM$24,M71+16,FALSE)="x"),"x",""))</f>
      </c>
      <c r="AB71" s="61"/>
      <c r="AC71" s="61"/>
      <c r="AE71" s="62" t="str">
        <f>IF(AND(COUNT($V71)=1,OR($O71=1,$P71=1,$Q71=1,$R71=1,$S71=1,$T71=1)),INT($V71),"x")</f>
        <v>x</v>
      </c>
      <c r="AF71" s="63">
        <f>IF(AE71="x","",IF(AE71=SMALL($AE$22:$AE$76,1),AE71,""))</f>
      </c>
      <c r="AG71" s="62" t="str">
        <f>IF(AND(COUNT($V71)=1,OR($O71=2,$P71=2,$Q71=2,$R71=2,$S71=2,$T71=2)),INT($V71),"x")</f>
        <v>x</v>
      </c>
      <c r="AH71" s="63">
        <f>IF(AG71="x","",IF(AG71=SMALL($AG$22:$AG$76,1),AG71,""))</f>
      </c>
      <c r="AI71" s="62" t="str">
        <f>IF(AND(COUNT($V71)=1,OR($O71=3,$P71=3,$Q71=3,$R71=3,$S71=3,$T71=3)),INT($V71),"x")</f>
        <v>x</v>
      </c>
      <c r="AJ71" s="63">
        <f>IF(AI71="x","",IF(AI71=SMALL($AI$22:$AI$76,1),AI71,""))</f>
      </c>
      <c r="AK71" s="62" t="str">
        <f>IF(AND(COUNT($V71)=1,OR($O71=4,$P71=4,$Q71=4,$R71=4,$S71=4,$T71=4)),INT($V71),"x")</f>
        <v>x</v>
      </c>
      <c r="AL71" s="63">
        <f>IF(AK71="x","",IF(AK71=SMALL($AK$22:$AK$76,1),AK71,""))</f>
      </c>
      <c r="AM71" s="62" t="str">
        <f>IF(AND(COUNT($V71)=1,OR($O71=5,$P71=5,$Q71=5,$R71=5,$S71=5,$T71=5)),INT($V71),"x")</f>
        <v>x</v>
      </c>
      <c r="AN71" s="63">
        <f>IF(AM71="x","",IF(AM71=SMALL($AM$22:$AM$76,1),AM71,""))</f>
      </c>
      <c r="AO71" s="62" t="str">
        <f>IF(AND(COUNT($V71)=1,OR($O71=6,$P71=6,$Q71=6,$R71=6,$S71=6,$T71=6)),INT($V71),"x")</f>
        <v>x</v>
      </c>
      <c r="AP71" s="63">
        <f>IF(AO71="x","",IF(AO71=SMALL($AO$22:$AO$76,1),AO71,""))</f>
      </c>
      <c r="AQ71" s="64"/>
      <c r="AR71" s="32"/>
    </row>
    <row r="72" spans="1:44" ht="15" customHeight="1">
      <c r="A72" s="366"/>
      <c r="B72" s="32"/>
      <c r="C72" s="367"/>
      <c r="D72" s="32"/>
      <c r="E72" s="489"/>
      <c r="F72" s="59">
        <f>IF(E71="","",IF(VLOOKUP($C$3&amp;"-"&amp;E71,'DE4'!$S$10:$AS$24,27,FALSE)="Blauw",VLOOKUP("Blauw / Bleu",'[1]Strings'!$A$3:$K$102,'[1]Strings'!$A$1,FALSE),""))</f>
      </c>
      <c r="G72" s="71">
        <f>IF(E71="","",E71)</f>
      </c>
      <c r="H72" s="490">
        <f>IF(OR(U71="x",Y71="x",AA71="x"),"CONTROLEER INVOER       HEAT 1",IF(OR(U72="x",Y72="x",AA72="x"),"CONTROLEER INVOER       HEAT 2",IF(OR(U73="x",Y73="x",AA73="x"),"CONTROLEER INVOER       HEAT 3",IF(OR(U74="x",Y74="x",AA74="x"),"CONTROLEER INVOER       HEAT 4",IF(OR(U75="x",Y75="x",AA75="x"),"CONTROLEER INVOER       HEAT 5","")))))</f>
      </c>
      <c r="I72" s="490"/>
      <c r="J72" s="490"/>
      <c r="K72" s="490"/>
      <c r="L72" s="490"/>
      <c r="M72" s="491">
        <v>2</v>
      </c>
      <c r="N72" s="492"/>
      <c r="O72" s="12"/>
      <c r="P72" s="12"/>
      <c r="Q72" s="12"/>
      <c r="R72" s="12"/>
      <c r="S72" s="468"/>
      <c r="T72" s="469"/>
      <c r="U72" s="61">
        <f>IF(V72="","",IF(COUNT(O72:T72)&lt;&gt;4,"X",""))</f>
      </c>
      <c r="V72" s="480"/>
      <c r="W72" s="481"/>
      <c r="X72" s="481"/>
      <c r="Y72" s="61">
        <f>IF($V72="","",IF($R$3&gt;$V72,"X",""))</f>
      </c>
      <c r="Z72" s="12"/>
      <c r="AA72" s="11">
        <f>IF(G72="","",IF(OR(AND(V72="",Z72&lt;&gt;""),AND(V72&lt;&gt;"",Z72=""),AND(V72="w",Z72&lt;&gt;"w"),AND(V72="nt",Z72="w"),VLOOKUP($C$3&amp;"-"&amp;G72,'DE4'!$S$10:$AM$24,M72+16,FALSE)="x"),"x",""))</f>
      </c>
      <c r="AB72" s="61"/>
      <c r="AC72" s="61"/>
      <c r="AE72" s="62" t="str">
        <f>IF(AND(COUNT($V72)=1,OR($O72=1,$P72=1,$Q72=1,$R72=1,$S72=1,$T72=1)),INT($V72),"x")</f>
        <v>x</v>
      </c>
      <c r="AF72" s="63">
        <f>IF(AE72="x","",IF(AE72=SMALL($AE$22:$AE$76,1),AE72,""))</f>
      </c>
      <c r="AG72" s="62" t="str">
        <f>IF(AND(COUNT($V72)=1,OR($O72=2,$P72=2,$Q72=2,$R72=2,$S72=2,$T72=2)),INT($V72),"x")</f>
        <v>x</v>
      </c>
      <c r="AH72" s="63">
        <f>IF(AG72="x","",IF(AG72=SMALL($AG$22:$AG$76,1),AG72,""))</f>
      </c>
      <c r="AI72" s="62" t="str">
        <f>IF(AND(COUNT($V72)=1,OR($O72=3,$P72=3,$Q72=3,$R72=3,$S72=3,$T72=3)),INT($V72),"x")</f>
        <v>x</v>
      </c>
      <c r="AJ72" s="63">
        <f>IF(AI72="x","",IF(AI72=SMALL($AI$22:$AI$76,1),AI72,""))</f>
      </c>
      <c r="AK72" s="62" t="str">
        <f>IF(AND(COUNT($V72)=1,OR($O72=4,$P72=4,$Q72=4,$R72=4,$S72=4,$T72=4)),INT($V72),"x")</f>
        <v>x</v>
      </c>
      <c r="AL72" s="63">
        <f>IF(AK72="x","",IF(AK72=SMALL($AK$22:$AK$76,1),AK72,""))</f>
      </c>
      <c r="AM72" s="62" t="str">
        <f>IF(AND(COUNT($V72)=1,OR($O72=5,$P72=5,$Q72=5,$R72=5,$S72=5,$T72=5)),INT($V72),"x")</f>
        <v>x</v>
      </c>
      <c r="AN72" s="63">
        <f>IF(AM72="x","",IF(AM72=SMALL($AM$22:$AM$76,1),AM72,""))</f>
      </c>
      <c r="AO72" s="62" t="str">
        <f>IF(AND(COUNT($V72)=1,OR($O72=6,$P72=6,$Q72=6,$R72=6,$S72=6,$T72=6)),INT($V72),"x")</f>
        <v>x</v>
      </c>
      <c r="AP72" s="63">
        <f>IF(AO72="x","",IF(AO72=SMALL($AO$22:$AO$76,1),AO72,""))</f>
      </c>
      <c r="AQ72" s="64"/>
      <c r="AR72" s="32"/>
    </row>
    <row r="73" spans="1:44" ht="15" customHeight="1">
      <c r="A73" s="366"/>
      <c r="B73" s="32"/>
      <c r="C73" s="367"/>
      <c r="D73" s="32"/>
      <c r="E73" s="2">
        <f>IF(E71="","",uitslagen!$B$49)</f>
      </c>
      <c r="F73" s="71"/>
      <c r="G73" s="71">
        <f>IF(E71="","",E71)</f>
      </c>
      <c r="H73" s="490"/>
      <c r="I73" s="490"/>
      <c r="J73" s="490"/>
      <c r="K73" s="490"/>
      <c r="L73" s="490"/>
      <c r="M73" s="491">
        <v>3</v>
      </c>
      <c r="N73" s="492"/>
      <c r="O73" s="12"/>
      <c r="P73" s="12"/>
      <c r="Q73" s="12"/>
      <c r="R73" s="12"/>
      <c r="S73" s="468"/>
      <c r="T73" s="469"/>
      <c r="U73" s="61">
        <f>IF(V73="","",IF(COUNT(O73:T73)&lt;&gt;4,"X",""))</f>
      </c>
      <c r="V73" s="480"/>
      <c r="W73" s="481"/>
      <c r="X73" s="481"/>
      <c r="Y73" s="61">
        <f>IF($V73="","",IF($R$3&gt;$V73,"X",""))</f>
      </c>
      <c r="Z73" s="12"/>
      <c r="AA73" s="11">
        <f>IF(G73="","",IF(OR(AND(V73="",Z73&lt;&gt;""),AND(V73&lt;&gt;"",Z73=""),AND(V73="w",Z73&lt;&gt;"w"),AND(V73="nt",Z73="w"),VLOOKUP($C$3&amp;"-"&amp;G73,'DE4'!$S$10:$AM$24,M73+16,FALSE)="x"),"x",""))</f>
      </c>
      <c r="AB73" s="61"/>
      <c r="AC73" s="61"/>
      <c r="AE73" s="62" t="str">
        <f>IF(AND(COUNT($V73)=1,OR($O73=1,$P73=1,$Q73=1,$R73=1,$S73=1,$T73=1)),INT($V73),"x")</f>
        <v>x</v>
      </c>
      <c r="AF73" s="63">
        <f>IF(AE73="x","",IF(AE73=SMALL($AE$22:$AE$76,1),AE73,""))</f>
      </c>
      <c r="AG73" s="62" t="str">
        <f>IF(AND(COUNT($V73)=1,OR($O73=2,$P73=2,$Q73=2,$R73=2,$S73=2,$T73=2)),INT($V73),"x")</f>
        <v>x</v>
      </c>
      <c r="AH73" s="63">
        <f>IF(AG73="x","",IF(AG73=SMALL($AG$22:$AG$76,1),AG73,""))</f>
      </c>
      <c r="AI73" s="62" t="str">
        <f>IF(AND(COUNT($V73)=1,OR($O73=3,$P73=3,$Q73=3,$R73=3,$S73=3,$T73=3)),INT($V73),"x")</f>
        <v>x</v>
      </c>
      <c r="AJ73" s="63">
        <f>IF(AI73="x","",IF(AI73=SMALL($AI$22:$AI$76,1),AI73,""))</f>
      </c>
      <c r="AK73" s="62" t="str">
        <f>IF(AND(COUNT($V73)=1,OR($O73=4,$P73=4,$Q73=4,$R73=4,$S73=4,$T73=4)),INT($V73),"x")</f>
        <v>x</v>
      </c>
      <c r="AL73" s="63">
        <f>IF(AK73="x","",IF(AK73=SMALL($AK$22:$AK$76,1),AK73,""))</f>
      </c>
      <c r="AM73" s="62" t="str">
        <f>IF(AND(COUNT($V73)=1,OR($O73=5,$P73=5,$Q73=5,$R73=5,$S73=5,$T73=5)),INT($V73),"x")</f>
        <v>x</v>
      </c>
      <c r="AN73" s="63">
        <f>IF(AM73="x","",IF(AM73=SMALL($AM$22:$AM$76,1),AM73,""))</f>
      </c>
      <c r="AO73" s="62" t="str">
        <f>IF(AND(COUNT($V73)=1,OR($O73=6,$P73=6,$Q73=6,$R73=6,$S73=6,$T73=6)),INT($V73),"x")</f>
        <v>x</v>
      </c>
      <c r="AP73" s="63">
        <f>IF(AO73="x","",IF(AO73=SMALL($AO$22:$AO$76,1),AO73,""))</f>
      </c>
      <c r="AQ73" s="64"/>
      <c r="AR73" s="32"/>
    </row>
    <row r="74" spans="1:44" ht="15" customHeight="1">
      <c r="A74" s="366"/>
      <c r="B74" s="32"/>
      <c r="C74" s="367"/>
      <c r="D74" s="32"/>
      <c r="E74" s="71">
        <f>IF(OR(COUNTIF(Z71:Z75,"w")=uitslagen!$H$49,MID(E71,1,1)="T"),2,IF(COUNTIF(Z71:Z75,"l")=uitslagen!$H$49,3,""))</f>
      </c>
      <c r="G74" s="71">
        <f>IF(E71="","",E71)</f>
      </c>
      <c r="H74" s="490"/>
      <c r="I74" s="490"/>
      <c r="J74" s="490"/>
      <c r="K74" s="490"/>
      <c r="L74" s="490"/>
      <c r="M74" s="491">
        <v>4</v>
      </c>
      <c r="N74" s="492"/>
      <c r="O74" s="12"/>
      <c r="P74" s="12"/>
      <c r="Q74" s="12"/>
      <c r="R74" s="12"/>
      <c r="S74" s="468"/>
      <c r="T74" s="469"/>
      <c r="U74" s="61">
        <f>IF(V74="","",IF(COUNT(O74:T74)&lt;&gt;4,"X",""))</f>
      </c>
      <c r="V74" s="480"/>
      <c r="W74" s="481"/>
      <c r="X74" s="481"/>
      <c r="Y74" s="61">
        <f>IF($V74="","",IF($R$3&gt;$V74,"X",""))</f>
      </c>
      <c r="Z74" s="12"/>
      <c r="AA74" s="11">
        <f>IF(G74="","",IF(OR(AND(V74="",Z74&lt;&gt;""),AND(V74&lt;&gt;"",Z74=""),AND(V74="w",Z74&lt;&gt;"w"),AND(V74="nt",Z74="w"),VLOOKUP($C$3&amp;"-"&amp;G74,'DE4'!$S$10:$AM$24,M74+16,FALSE)="x"),"x",""))</f>
      </c>
      <c r="AB74" s="61"/>
      <c r="AC74" s="61"/>
      <c r="AE74" s="62" t="str">
        <f>IF(AND(COUNT($V74)=1,OR($O74=1,$P74=1,$Q74=1,$R74=1,$S74=1,$T74=1)),INT($V74),"x")</f>
        <v>x</v>
      </c>
      <c r="AF74" s="63">
        <f>IF(AE74="x","",IF(AE74=SMALL($AE$22:$AE$76,1),AE74,""))</f>
      </c>
      <c r="AG74" s="62" t="str">
        <f>IF(AND(COUNT($V74)=1,OR($O74=2,$P74=2,$Q74=2,$R74=2,$S74=2,$T74=2)),INT($V74),"x")</f>
        <v>x</v>
      </c>
      <c r="AH74" s="63">
        <f>IF(AG74="x","",IF(AG74=SMALL($AG$22:$AG$76,1),AG74,""))</f>
      </c>
      <c r="AI74" s="62" t="str">
        <f>IF(AND(COUNT($V74)=1,OR($O74=3,$P74=3,$Q74=3,$R74=3,$S74=3,$T74=3)),INT($V74),"x")</f>
        <v>x</v>
      </c>
      <c r="AJ74" s="63">
        <f>IF(AI74="x","",IF(AI74=SMALL($AI$22:$AI$76,1),AI74,""))</f>
      </c>
      <c r="AK74" s="62" t="str">
        <f>IF(AND(COUNT($V74)=1,OR($O74=4,$P74=4,$Q74=4,$R74=4,$S74=4,$T74=4)),INT($V74),"x")</f>
        <v>x</v>
      </c>
      <c r="AL74" s="63">
        <f>IF(AK74="x","",IF(AK74=SMALL($AK$22:$AK$76,1),AK74,""))</f>
      </c>
      <c r="AM74" s="62" t="str">
        <f>IF(AND(COUNT($V74)=1,OR($O74=5,$P74=5,$Q74=5,$R74=5,$S74=5,$T74=5)),INT($V74),"x")</f>
        <v>x</v>
      </c>
      <c r="AN74" s="63">
        <f>IF(AM74="x","",IF(AM74=SMALL($AM$22:$AM$76,1),AM74,""))</f>
      </c>
      <c r="AO74" s="62" t="str">
        <f>IF(AND(COUNT($V74)=1,OR($O74=6,$P74=6,$Q74=6,$R74=6,$S74=6,$T74=6)),INT($V74),"x")</f>
        <v>x</v>
      </c>
      <c r="AP74" s="63">
        <f>IF(AO74="x","",IF(AO74=SMALL($AO$22:$AO$76,1),AO74,""))</f>
      </c>
      <c r="AQ74" s="64"/>
      <c r="AR74" s="32"/>
    </row>
    <row r="75" spans="1:44" ht="15" customHeight="1">
      <c r="A75" s="366"/>
      <c r="B75" s="32"/>
      <c r="C75" s="367"/>
      <c r="D75" s="32"/>
      <c r="E75" s="74">
        <f>IF(E71=6,"FINALE",IF(E71=7,"FINALE  Herkansing",""))</f>
      </c>
      <c r="G75" s="71">
        <f>IF(E71="","",E71)</f>
      </c>
      <c r="H75" s="490"/>
      <c r="I75" s="490"/>
      <c r="J75" s="490"/>
      <c r="K75" s="490"/>
      <c r="L75" s="490"/>
      <c r="M75" s="491">
        <v>5</v>
      </c>
      <c r="N75" s="492"/>
      <c r="O75" s="12"/>
      <c r="P75" s="12"/>
      <c r="Q75" s="12"/>
      <c r="R75" s="12"/>
      <c r="S75" s="468"/>
      <c r="T75" s="469"/>
      <c r="U75" s="61">
        <f>IF(V75="","",IF(COUNT(O75:T75)&lt;&gt;4,"X",""))</f>
      </c>
      <c r="V75" s="480"/>
      <c r="W75" s="481"/>
      <c r="X75" s="481"/>
      <c r="Y75" s="61">
        <f>IF($V75="","",IF($R$3&gt;$V75,"X",""))</f>
      </c>
      <c r="Z75" s="12"/>
      <c r="AA75" s="11">
        <f>IF(G75="","",IF(OR(AND(V75="",Z75&lt;&gt;""),AND(V75&lt;&gt;"",Z75=""),AND(V75="w",Z75&lt;&gt;"w"),AND(V75="nt",Z75="w"),VLOOKUP($C$3&amp;"-"&amp;G75,'DE4'!$S$10:$AM$24,M75+16,FALSE)="x"),"x",""))</f>
      </c>
      <c r="AB75" s="61"/>
      <c r="AC75" s="61"/>
      <c r="AE75" s="65" t="str">
        <f>IF(AND(COUNT($V75)=1,OR($O75=1,$P75=1,$Q75=1,$R75=1,$S75=1,$T75=1)),INT($V75),"x")</f>
        <v>x</v>
      </c>
      <c r="AF75" s="66">
        <f>IF(AE75="x","",IF(AE75=SMALL($AE$22:$AE$76,1),AE75,""))</f>
      </c>
      <c r="AG75" s="65" t="str">
        <f>IF(AND(COUNT($V75)=1,OR($O75=2,$P75=2,$Q75=2,$R75=2,$S75=2,$T75=2)),INT($V75),"x")</f>
        <v>x</v>
      </c>
      <c r="AH75" s="63">
        <f>IF(AG75="x","",IF(AG75=SMALL($AG$22:$AG$76,1),AG75,""))</f>
      </c>
      <c r="AI75" s="65" t="str">
        <f>IF(AND(COUNT($V75)=1,OR($O75=3,$P75=3,$Q75=3,$R75=3,$S75=3,$T75=3)),INT($V75),"x")</f>
        <v>x</v>
      </c>
      <c r="AJ75" s="63">
        <f>IF(AI75="x","",IF(AI75=SMALL($AI$22:$AI$76,1),AI75,""))</f>
      </c>
      <c r="AK75" s="65" t="str">
        <f>IF(AND(COUNT($V75)=1,OR($O75=4,$P75=4,$Q75=4,$R75=4,$S75=4,$T75=4)),INT($V75),"x")</f>
        <v>x</v>
      </c>
      <c r="AL75" s="63">
        <f>IF(AK75="x","",IF(AK75=SMALL($AK$22:$AK$76,1),AK75,""))</f>
      </c>
      <c r="AM75" s="65" t="str">
        <f>IF(AND(COUNT($V75)=1,OR($O75=5,$P75=5,$Q75=5,$R75=5,$S75=5,$T75=5)),INT($V75),"x")</f>
        <v>x</v>
      </c>
      <c r="AN75" s="63">
        <f>IF(AM75="x","",IF(AM75=SMALL($AM$22:$AM$76,1),AM75,""))</f>
      </c>
      <c r="AO75" s="65" t="str">
        <f>IF(AND(COUNT($V75)=1,OR($O75=6,$P75=6,$Q75=6,$R75=6,$S75=6,$T75=6)),INT($V75),"x")</f>
        <v>x</v>
      </c>
      <c r="AP75" s="63">
        <f>IF(AO75="x","",IF(AO75=SMALL($AO$22:$AO$76,1),AO75,""))</f>
      </c>
      <c r="AQ75" s="64"/>
      <c r="AR75" s="32"/>
    </row>
    <row r="76" spans="1:42" ht="3.75" customHeight="1">
      <c r="A76" s="366"/>
      <c r="B76" s="32"/>
      <c r="C76" s="367"/>
      <c r="E76" s="67"/>
      <c r="F76" s="67"/>
      <c r="G76" s="73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487"/>
      <c r="W76" s="487"/>
      <c r="X76" s="487"/>
      <c r="Y76" s="67"/>
      <c r="Z76" s="76"/>
      <c r="AA76" s="68"/>
      <c r="AB76" s="61"/>
      <c r="AC76" s="61"/>
      <c r="AE76" s="69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1:26" ht="15" customHeight="1">
      <c r="A77" s="32"/>
      <c r="B77" s="32"/>
      <c r="C77" s="32"/>
      <c r="E77" s="568" t="str">
        <f>IF(COUNTIF(uitslagen!E106:E111,"")=6,"",IF(VLOOKUP($C$3,uitslagen!$E$106:$L$111,8,FALSE)=1,"1",VLOOKUP($C$3,uitslagen!$E$106:$L$111,8,FALSE)&amp;" "))</f>
        <v>4 </v>
      </c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</row>
    <row r="78" spans="1:26" ht="15" customHeight="1">
      <c r="A78" s="32"/>
      <c r="B78" s="32"/>
      <c r="C78" s="32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</row>
    <row r="79" spans="1:3" ht="15" customHeight="1">
      <c r="A79" s="32"/>
      <c r="B79" s="32"/>
      <c r="C79" s="32"/>
    </row>
  </sheetData>
  <sheetProtection/>
  <mergeCells count="240">
    <mergeCell ref="E15:G15"/>
    <mergeCell ref="H15:I15"/>
    <mergeCell ref="L15:M15"/>
    <mergeCell ref="N15:V15"/>
    <mergeCell ref="E13:G13"/>
    <mergeCell ref="H13:I13"/>
    <mergeCell ref="L13:M13"/>
    <mergeCell ref="N13:V13"/>
    <mergeCell ref="B14:D14"/>
    <mergeCell ref="E14:G14"/>
    <mergeCell ref="H14:I14"/>
    <mergeCell ref="L14:M14"/>
    <mergeCell ref="N14:V14"/>
    <mergeCell ref="AQ21:AR21"/>
    <mergeCell ref="E19:G19"/>
    <mergeCell ref="H17:I17"/>
    <mergeCell ref="H18:I18"/>
    <mergeCell ref="H19:I19"/>
    <mergeCell ref="E22:E23"/>
    <mergeCell ref="H21:L21"/>
    <mergeCell ref="H22:L22"/>
    <mergeCell ref="V23:X23"/>
    <mergeCell ref="V22:X22"/>
    <mergeCell ref="V64:X64"/>
    <mergeCell ref="H49:L49"/>
    <mergeCell ref="H57:L57"/>
    <mergeCell ref="M56:N56"/>
    <mergeCell ref="M50:N50"/>
    <mergeCell ref="M65:N65"/>
    <mergeCell ref="Y7:Z7"/>
    <mergeCell ref="O7:P7"/>
    <mergeCell ref="Q7:R7"/>
    <mergeCell ref="S7:T7"/>
    <mergeCell ref="U7:V7"/>
    <mergeCell ref="W7:X7"/>
    <mergeCell ref="N16:V16"/>
    <mergeCell ref="N19:V19"/>
    <mergeCell ref="M57:N57"/>
    <mergeCell ref="H50:L50"/>
    <mergeCell ref="M53:N53"/>
    <mergeCell ref="L16:M16"/>
    <mergeCell ref="L17:M17"/>
    <mergeCell ref="L18:M18"/>
    <mergeCell ref="L19:M19"/>
    <mergeCell ref="N18:V18"/>
    <mergeCell ref="N17:V17"/>
    <mergeCell ref="H16:I16"/>
    <mergeCell ref="V24:X24"/>
    <mergeCell ref="E16:G16"/>
    <mergeCell ref="E17:G17"/>
    <mergeCell ref="E18:G18"/>
    <mergeCell ref="Y6:Z6"/>
    <mergeCell ref="E9:G9"/>
    <mergeCell ref="E10:G10"/>
    <mergeCell ref="E11:G11"/>
    <mergeCell ref="L9:M9"/>
    <mergeCell ref="L10:M10"/>
    <mergeCell ref="L11:M11"/>
    <mergeCell ref="H9:J9"/>
    <mergeCell ref="U6:V6"/>
    <mergeCell ref="W6:X6"/>
    <mergeCell ref="N9:V9"/>
    <mergeCell ref="E12:G12"/>
    <mergeCell ref="H10:J10"/>
    <mergeCell ref="H11:I11"/>
    <mergeCell ref="H12:I12"/>
    <mergeCell ref="N10:V10"/>
    <mergeCell ref="N11:V11"/>
    <mergeCell ref="V25:X25"/>
    <mergeCell ref="L6:N7"/>
    <mergeCell ref="M24:N24"/>
    <mergeCell ref="W9:Z9"/>
    <mergeCell ref="W10:Z10"/>
    <mergeCell ref="O6:P6"/>
    <mergeCell ref="Q6:R6"/>
    <mergeCell ref="S6:T6"/>
    <mergeCell ref="W8:Z8"/>
    <mergeCell ref="N12:V12"/>
    <mergeCell ref="M26:N26"/>
    <mergeCell ref="O21:T21"/>
    <mergeCell ref="M21:N21"/>
    <mergeCell ref="M22:N22"/>
    <mergeCell ref="M23:N23"/>
    <mergeCell ref="M25:N25"/>
    <mergeCell ref="L12:M12"/>
    <mergeCell ref="B18:D18"/>
    <mergeCell ref="B19:D19"/>
    <mergeCell ref="B9:D9"/>
    <mergeCell ref="B10:D10"/>
    <mergeCell ref="B11:D11"/>
    <mergeCell ref="B12:D12"/>
    <mergeCell ref="B16:D16"/>
    <mergeCell ref="B17:D17"/>
    <mergeCell ref="B13:D13"/>
    <mergeCell ref="B15:D15"/>
    <mergeCell ref="R3:V4"/>
    <mergeCell ref="A4:B4"/>
    <mergeCell ref="X1:Z1"/>
    <mergeCell ref="X2:Z4"/>
    <mergeCell ref="N3:Q3"/>
    <mergeCell ref="L1:N1"/>
    <mergeCell ref="O1:V1"/>
    <mergeCell ref="L4:M4"/>
    <mergeCell ref="L3:M3"/>
    <mergeCell ref="E7:J7"/>
    <mergeCell ref="A6:D6"/>
    <mergeCell ref="A7:D7"/>
    <mergeCell ref="C3:K4"/>
    <mergeCell ref="A3:B3"/>
    <mergeCell ref="N4:Q4"/>
    <mergeCell ref="H29:L29"/>
    <mergeCell ref="M29:N29"/>
    <mergeCell ref="M28:N28"/>
    <mergeCell ref="M31:N31"/>
    <mergeCell ref="M32:N32"/>
    <mergeCell ref="A1:C1"/>
    <mergeCell ref="D1:K1"/>
    <mergeCell ref="H23:L26"/>
    <mergeCell ref="H28:L28"/>
    <mergeCell ref="E6:J6"/>
    <mergeCell ref="M68:N68"/>
    <mergeCell ref="O70:T70"/>
    <mergeCell ref="H63:L63"/>
    <mergeCell ref="H70:L70"/>
    <mergeCell ref="H71:L71"/>
    <mergeCell ref="H65:L68"/>
    <mergeCell ref="M64:N64"/>
    <mergeCell ref="O63:T63"/>
    <mergeCell ref="M66:N66"/>
    <mergeCell ref="M70:N70"/>
    <mergeCell ref="O56:T56"/>
    <mergeCell ref="M45:N45"/>
    <mergeCell ref="M46:N46"/>
    <mergeCell ref="M54:N54"/>
    <mergeCell ref="V62:X62"/>
    <mergeCell ref="V58:X58"/>
    <mergeCell ref="V46:X46"/>
    <mergeCell ref="M49:N49"/>
    <mergeCell ref="V30:X30"/>
    <mergeCell ref="V31:X31"/>
    <mergeCell ref="V32:X32"/>
    <mergeCell ref="V40:X40"/>
    <mergeCell ref="O28:T28"/>
    <mergeCell ref="M42:N42"/>
    <mergeCell ref="M40:N40"/>
    <mergeCell ref="M35:N35"/>
    <mergeCell ref="M37:N37"/>
    <mergeCell ref="M38:N38"/>
    <mergeCell ref="M43:N43"/>
    <mergeCell ref="V45:X45"/>
    <mergeCell ref="V26:X26"/>
    <mergeCell ref="O42:T42"/>
    <mergeCell ref="V37:X37"/>
    <mergeCell ref="V38:X38"/>
    <mergeCell ref="V27:X27"/>
    <mergeCell ref="O35:T35"/>
    <mergeCell ref="V39:X39"/>
    <mergeCell ref="M39:N39"/>
    <mergeCell ref="AQ35:AR35"/>
    <mergeCell ref="H35:L35"/>
    <mergeCell ref="AQ28:AR28"/>
    <mergeCell ref="E29:E30"/>
    <mergeCell ref="H30:L33"/>
    <mergeCell ref="V29:X29"/>
    <mergeCell ref="V33:X33"/>
    <mergeCell ref="V34:X34"/>
    <mergeCell ref="M33:N33"/>
    <mergeCell ref="M30:N30"/>
    <mergeCell ref="E43:E44"/>
    <mergeCell ref="H44:L47"/>
    <mergeCell ref="E36:E37"/>
    <mergeCell ref="H37:L40"/>
    <mergeCell ref="H36:L36"/>
    <mergeCell ref="H43:L43"/>
    <mergeCell ref="H42:L42"/>
    <mergeCell ref="M44:N44"/>
    <mergeCell ref="M47:N47"/>
    <mergeCell ref="V52:X52"/>
    <mergeCell ref="V51:X51"/>
    <mergeCell ref="M52:N52"/>
    <mergeCell ref="M51:N51"/>
    <mergeCell ref="O49:T49"/>
    <mergeCell ref="V75:X75"/>
    <mergeCell ref="M63:N63"/>
    <mergeCell ref="M58:N58"/>
    <mergeCell ref="M59:N59"/>
    <mergeCell ref="V74:X74"/>
    <mergeCell ref="V71:X71"/>
    <mergeCell ref="V69:X69"/>
    <mergeCell ref="M67:N67"/>
    <mergeCell ref="V67:X67"/>
    <mergeCell ref="V68:X68"/>
    <mergeCell ref="E57:E58"/>
    <mergeCell ref="H58:L61"/>
    <mergeCell ref="M60:N60"/>
    <mergeCell ref="V60:X60"/>
    <mergeCell ref="M61:N61"/>
    <mergeCell ref="V61:X61"/>
    <mergeCell ref="V59:X59"/>
    <mergeCell ref="V57:X57"/>
    <mergeCell ref="E71:E72"/>
    <mergeCell ref="H72:L75"/>
    <mergeCell ref="M72:N72"/>
    <mergeCell ref="M74:N74"/>
    <mergeCell ref="V72:X72"/>
    <mergeCell ref="E77:Z78"/>
    <mergeCell ref="M75:N75"/>
    <mergeCell ref="M73:N73"/>
    <mergeCell ref="V73:X73"/>
    <mergeCell ref="V76:X76"/>
    <mergeCell ref="AM19:AN19"/>
    <mergeCell ref="V48:X48"/>
    <mergeCell ref="V36:X36"/>
    <mergeCell ref="M36:N36"/>
    <mergeCell ref="E64:E65"/>
    <mergeCell ref="H64:L64"/>
    <mergeCell ref="E50:E51"/>
    <mergeCell ref="H51:L54"/>
    <mergeCell ref="H56:L56"/>
    <mergeCell ref="V55:X55"/>
    <mergeCell ref="AQ70:AR70"/>
    <mergeCell ref="AQ63:AR63"/>
    <mergeCell ref="V66:X66"/>
    <mergeCell ref="V65:X65"/>
    <mergeCell ref="M71:N71"/>
    <mergeCell ref="AO19:AP19"/>
    <mergeCell ref="AE19:AF19"/>
    <mergeCell ref="AG19:AH19"/>
    <mergeCell ref="AI19:AJ19"/>
    <mergeCell ref="AK19:AL19"/>
    <mergeCell ref="AQ56:AR56"/>
    <mergeCell ref="AQ49:AR49"/>
    <mergeCell ref="AQ42:AR42"/>
    <mergeCell ref="V41:X41"/>
    <mergeCell ref="V50:X50"/>
    <mergeCell ref="V43:X43"/>
    <mergeCell ref="V44:X44"/>
    <mergeCell ref="V53:X53"/>
    <mergeCell ref="V47:X47"/>
    <mergeCell ref="V54:X54"/>
  </mergeCells>
  <conditionalFormatting sqref="F71:F72 F22:F23 F29:F30 F43:F44 F50:F51 F57:F58 F64:F65 F36:F37">
    <cfRule type="cellIs" priority="7" dxfId="14" operator="between" stopIfTrue="1">
      <formula>"B"</formula>
      <formula>"C"</formula>
    </cfRule>
    <cfRule type="cellIs" priority="8" dxfId="13" operator="between" stopIfTrue="1">
      <formula>"R"</formula>
      <formula>"S"</formula>
    </cfRule>
  </conditionalFormatting>
  <conditionalFormatting sqref="AS10">
    <cfRule type="cellIs" priority="9" dxfId="3" operator="greaterThan" stopIfTrue="1">
      <formula>99</formula>
    </cfRule>
  </conditionalFormatting>
  <conditionalFormatting sqref="AS11:AS12 AS16:AS19">
    <cfRule type="cellIs" priority="10" dxfId="3" operator="greaterThan" stopIfTrue="1">
      <formula>20</formula>
    </cfRule>
  </conditionalFormatting>
  <conditionalFormatting sqref="E22:E23 E29:E30 E36:E37 E43:E44 E50:E51 E57:E58 E64:E65 E71:E72">
    <cfRule type="expression" priority="11" dxfId="1" stopIfTrue="1">
      <formula>F23&gt;="B"</formula>
    </cfRule>
    <cfRule type="expression" priority="12" dxfId="0" stopIfTrue="1">
      <formula>F22&gt;="R"</formula>
    </cfRule>
  </conditionalFormatting>
  <conditionalFormatting sqref="A1:V11 X1:Z12 W1:W2 W5:W12 B16:J19 A13:A19 L16:Z19 A12:J12 L12:V12 K12:K19">
    <cfRule type="expression" priority="13" dxfId="2" stopIfTrue="1">
      <formula>$W$3&gt;2</formula>
    </cfRule>
  </conditionalFormatting>
  <conditionalFormatting sqref="AS13">
    <cfRule type="cellIs" priority="5" dxfId="3" operator="greaterThan" stopIfTrue="1">
      <formula>20</formula>
    </cfRule>
  </conditionalFormatting>
  <conditionalFormatting sqref="B13:J13 L13:Z13">
    <cfRule type="expression" priority="6" dxfId="2" stopIfTrue="1">
      <formula>$W$3&gt;2</formula>
    </cfRule>
  </conditionalFormatting>
  <conditionalFormatting sqref="AS14">
    <cfRule type="cellIs" priority="3" dxfId="3" operator="greaterThan" stopIfTrue="1">
      <formula>20</formula>
    </cfRule>
  </conditionalFormatting>
  <conditionalFormatting sqref="B14:J14 L14:Z14">
    <cfRule type="expression" priority="4" dxfId="2" stopIfTrue="1">
      <formula>$W$3&gt;2</formula>
    </cfRule>
  </conditionalFormatting>
  <conditionalFormatting sqref="AS15">
    <cfRule type="cellIs" priority="1" dxfId="3" operator="greaterThan" stopIfTrue="1">
      <formula>20</formula>
    </cfRule>
  </conditionalFormatting>
  <conditionalFormatting sqref="B15:J15 L15:Z15">
    <cfRule type="expression" priority="2" dxfId="2" stopIfTrue="1">
      <formula>$W$3&gt;2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78" r:id="rId2"/>
  <rowBreaks count="1" manualBreakCount="1">
    <brk id="40" max="2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W79"/>
  <sheetViews>
    <sheetView showGridLines="0" showZeros="0" zoomScalePageLayoutView="0" workbookViewId="0" topLeftCell="A1">
      <pane ySplit="19" topLeftCell="A59" activePane="bottomLeft" state="frozen"/>
      <selection pane="topLeft" activeCell="AR4" sqref="AR4"/>
      <selection pane="bottomLeft" activeCell="O7" sqref="O7:P7"/>
    </sheetView>
  </sheetViews>
  <sheetFormatPr defaultColWidth="9.140625" defaultRowHeight="15" customHeight="1"/>
  <cols>
    <col min="1" max="1" width="3.28125" style="28" customWidth="1"/>
    <col min="2" max="2" width="4.7109375" style="28" customWidth="1"/>
    <col min="3" max="3" width="12.7109375" style="28" customWidth="1"/>
    <col min="4" max="4" width="1.28515625" style="28" customWidth="1"/>
    <col min="5" max="6" width="11.7109375" style="28" customWidth="1"/>
    <col min="7" max="7" width="2.00390625" style="28" customWidth="1"/>
    <col min="8" max="9" width="3.28125" style="28" customWidth="1"/>
    <col min="10" max="10" width="3.00390625" style="28" customWidth="1"/>
    <col min="11" max="11" width="7.140625" style="28" customWidth="1"/>
    <col min="12" max="12" width="5.7109375" style="28" customWidth="1"/>
    <col min="13" max="26" width="3.28125" style="28" customWidth="1"/>
    <col min="27" max="27" width="2.7109375" style="27" customWidth="1"/>
    <col min="28" max="29" width="3.28125" style="28" hidden="1" customWidth="1"/>
    <col min="30" max="30" width="44.8515625" style="28" hidden="1" customWidth="1"/>
    <col min="31" max="31" width="2.7109375" style="29" hidden="1" customWidth="1"/>
    <col min="32" max="42" width="2.7109375" style="28" hidden="1" customWidth="1"/>
    <col min="43" max="43" width="3.28125" style="28" hidden="1" customWidth="1"/>
    <col min="44" max="44" width="14.57421875" style="28" customWidth="1"/>
    <col min="45" max="45" width="7.00390625" style="28" customWidth="1"/>
    <col min="46" max="46" width="10.140625" style="28" bestFit="1" customWidth="1"/>
    <col min="47" max="47" width="17.8515625" style="28" bestFit="1" customWidth="1"/>
    <col min="48" max="49" width="9.8515625" style="28" bestFit="1" customWidth="1"/>
    <col min="50" max="16384" width="9.140625" style="28" customWidth="1"/>
  </cols>
  <sheetData>
    <row r="1" spans="1:31" s="15" customFormat="1" ht="15" customHeight="1">
      <c r="A1" s="549" t="str">
        <f>VLOOKUP("toernooi / tournoi :",'[1]Strings'!A3:K102,'[1]Strings'!A1,FALSE)</f>
        <v>Turnier :</v>
      </c>
      <c r="B1" s="550"/>
      <c r="C1" s="550"/>
      <c r="D1" s="551" t="str">
        <f>'BayernXpress I'!$D$1</f>
        <v>5. Vaterstettener Flyballturnier</v>
      </c>
      <c r="E1" s="551"/>
      <c r="F1" s="551"/>
      <c r="G1" s="551"/>
      <c r="H1" s="551"/>
      <c r="I1" s="551"/>
      <c r="J1" s="551"/>
      <c r="K1" s="551"/>
      <c r="L1" s="540" t="str">
        <f>VLOOKUP("Datum / Date :",'[1]Strings'!A3:K102,'[1]Strings'!A1,FALSE)</f>
        <v>Datum:</v>
      </c>
      <c r="M1" s="541"/>
      <c r="N1" s="541"/>
      <c r="O1" s="542" t="str">
        <f>'BayernXpress I'!$O$1</f>
        <v>05.13.2017</v>
      </c>
      <c r="P1" s="543"/>
      <c r="Q1" s="543"/>
      <c r="R1" s="543"/>
      <c r="S1" s="543"/>
      <c r="T1" s="543"/>
      <c r="U1" s="543"/>
      <c r="V1" s="544"/>
      <c r="W1" s="34" t="str">
        <f>VLOOKUP("BO",'[1]Strings'!A3:K102,'[1]Strings'!A1,FALSE)</f>
        <v>BO </v>
      </c>
      <c r="X1" s="531" t="str">
        <f>VLOOKUP("div",'[1]Strings'!A3:K102,'[1]Strings'!A1,FALSE)</f>
        <v>Division </v>
      </c>
      <c r="Y1" s="532"/>
      <c r="Z1" s="533"/>
      <c r="AA1" s="14"/>
      <c r="AE1" s="16"/>
    </row>
    <row r="2" spans="12:31" s="17" customFormat="1" ht="3.75" customHeight="1"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534">
        <f>'BayernXpress I'!$X$2</f>
        <v>1</v>
      </c>
      <c r="Y2" s="535"/>
      <c r="Z2" s="536"/>
      <c r="AA2" s="19"/>
      <c r="AE2" s="20"/>
    </row>
    <row r="3" spans="1:31" s="17" customFormat="1" ht="12" customHeight="1">
      <c r="A3" s="525" t="str">
        <f>VLOOKUP("Team :",'[1]Strings'!A3:K102,'[1]Strings'!A1,FALSE)</f>
        <v>Team:</v>
      </c>
      <c r="B3" s="526"/>
      <c r="C3" s="561" t="s">
        <v>846</v>
      </c>
      <c r="D3" s="561"/>
      <c r="E3" s="562"/>
      <c r="F3" s="562"/>
      <c r="G3" s="562"/>
      <c r="H3" s="562"/>
      <c r="I3" s="562"/>
      <c r="J3" s="562"/>
      <c r="K3" s="562"/>
      <c r="L3" s="547" t="str">
        <f>VLOOKUP("B.F.B. nr",'[1]Strings'!A3:K102,'[1]Strings'!A1,FALSE)</f>
        <v>Team Nr.</v>
      </c>
      <c r="M3" s="548"/>
      <c r="N3" s="539" t="str">
        <f>VLOOKUP("uitbreektijd :",'[1]Strings'!A3:K102,'[1]Strings'!A1,FALSE)</f>
        <v>Break Out Zeit</v>
      </c>
      <c r="O3" s="539"/>
      <c r="P3" s="539"/>
      <c r="Q3" s="539"/>
      <c r="R3" s="528">
        <f>'BayernXpress I'!R3</f>
        <v>16.54</v>
      </c>
      <c r="S3" s="528"/>
      <c r="T3" s="528"/>
      <c r="U3" s="528"/>
      <c r="V3" s="528"/>
      <c r="W3" s="12">
        <f>COUNTIF(V:V,"bo")</f>
        <v>0</v>
      </c>
      <c r="X3" s="535"/>
      <c r="Y3" s="535"/>
      <c r="Z3" s="536"/>
      <c r="AA3" s="14"/>
      <c r="AB3" s="15"/>
      <c r="AC3" s="15"/>
      <c r="AD3" s="15"/>
      <c r="AE3" s="16"/>
    </row>
    <row r="4" spans="1:31" s="17" customFormat="1" ht="12" customHeight="1">
      <c r="A4" s="530">
        <f>VLOOKUP("Equipe :",'[1]Strings'!A3:K102,'[1]Strings'!A1,FALSE)</f>
        <v>0</v>
      </c>
      <c r="B4" s="527"/>
      <c r="C4" s="563"/>
      <c r="D4" s="563"/>
      <c r="E4" s="563"/>
      <c r="F4" s="563"/>
      <c r="G4" s="563"/>
      <c r="H4" s="563"/>
      <c r="I4" s="563"/>
      <c r="J4" s="563"/>
      <c r="K4" s="563"/>
      <c r="L4" s="545">
        <v>257</v>
      </c>
      <c r="M4" s="546"/>
      <c r="N4" s="527">
        <f>VLOOKUP("temps limite :",'[1]Strings'!A3:K102,'[1]Strings'!A1,FALSE)</f>
        <v>0</v>
      </c>
      <c r="O4" s="527"/>
      <c r="P4" s="527"/>
      <c r="Q4" s="527"/>
      <c r="R4" s="529"/>
      <c r="S4" s="529"/>
      <c r="T4" s="529"/>
      <c r="U4" s="529"/>
      <c r="V4" s="529"/>
      <c r="W4" s="12">
        <f>COUNTIF(V:V,"int")</f>
        <v>0</v>
      </c>
      <c r="X4" s="537"/>
      <c r="Y4" s="537"/>
      <c r="Z4" s="538"/>
      <c r="AA4" s="14"/>
      <c r="AB4" s="15"/>
      <c r="AC4" s="15"/>
      <c r="AD4" s="15"/>
      <c r="AE4" s="16"/>
    </row>
    <row r="5" spans="12:31" s="17" customFormat="1" ht="3.75" customHeight="1" thickBot="1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E5" s="20"/>
    </row>
    <row r="6" spans="1:31" s="25" customFormat="1" ht="15" customHeight="1">
      <c r="A6" s="540" t="str">
        <f>VLOOKUP("Kapitein  /  Capitaine :",'[1]Strings'!A3:K102,'[1]Strings'!A1,FALSE)</f>
        <v>Kapitän :</v>
      </c>
      <c r="B6" s="556"/>
      <c r="C6" s="556"/>
      <c r="D6" s="557"/>
      <c r="E6" s="552" t="s">
        <v>847</v>
      </c>
      <c r="F6" s="552"/>
      <c r="G6" s="552"/>
      <c r="H6" s="552"/>
      <c r="I6" s="552"/>
      <c r="J6" s="553"/>
      <c r="K6" s="21"/>
      <c r="L6" s="510" t="str">
        <f>VLOOKUP("Beste Tijden",'[1]Strings'!A3:K102,'[1]Strings'!A1,FALSE)</f>
        <v>Beste Zeiten</v>
      </c>
      <c r="M6" s="511"/>
      <c r="N6" s="511"/>
      <c r="O6" s="496">
        <v>1</v>
      </c>
      <c r="P6" s="496"/>
      <c r="Q6" s="496">
        <v>2</v>
      </c>
      <c r="R6" s="496"/>
      <c r="S6" s="496">
        <v>3</v>
      </c>
      <c r="T6" s="496"/>
      <c r="U6" s="496">
        <v>4</v>
      </c>
      <c r="V6" s="496"/>
      <c r="W6" s="496">
        <v>5</v>
      </c>
      <c r="X6" s="496"/>
      <c r="Y6" s="496">
        <v>6</v>
      </c>
      <c r="Z6" s="497"/>
      <c r="AA6" s="22"/>
      <c r="AB6" s="23"/>
      <c r="AC6" s="23"/>
      <c r="AD6" s="23"/>
      <c r="AE6" s="24"/>
    </row>
    <row r="7" spans="1:26" ht="15" customHeight="1" thickBot="1">
      <c r="A7" s="558" t="str">
        <f>VLOOKUP("Ballader / Préposé au flybox :",'[1]Strings'!A3:K102,'[1]Strings'!A1,FALSE)</f>
        <v>Boxenlader :</v>
      </c>
      <c r="B7" s="559"/>
      <c r="C7" s="559"/>
      <c r="D7" s="560"/>
      <c r="E7" s="554" t="s">
        <v>848</v>
      </c>
      <c r="F7" s="554"/>
      <c r="G7" s="554"/>
      <c r="H7" s="554"/>
      <c r="I7" s="554"/>
      <c r="J7" s="555"/>
      <c r="K7" s="26"/>
      <c r="L7" s="512"/>
      <c r="M7" s="513"/>
      <c r="N7" s="513"/>
      <c r="O7" s="484">
        <f>IF($W$8&lt;O6,"",IF(SMALL($V$22:$X$76,O6)&lt;$R$3,"UIT !",SMALL($V$22:$X$76,O6)))</f>
        <v>18.67</v>
      </c>
      <c r="P7" s="484"/>
      <c r="Q7" s="484">
        <f>IF($W$8&lt;Q6,"",IF(SMALL($V$22:$X$76,Q6)&lt;$R$3,"UIT !",SMALL($V$22:$X$76,Q6)))</f>
        <v>18.87</v>
      </c>
      <c r="R7" s="484"/>
      <c r="S7" s="484">
        <f>IF($W$8&lt;S6,"",IF(SMALL($V$22:$X$76,S6)&lt;$R$3,"UIT !",SMALL($V$22:$X$76,S6)))</f>
        <v>18.92</v>
      </c>
      <c r="T7" s="484"/>
      <c r="U7" s="484">
        <f>IF($W$8&lt;U6,"",IF(SMALL($V$22:$X$76,U6)&lt;$R$3,"UIT !",SMALL($V$22:$X$76,U6)))</f>
        <v>19</v>
      </c>
      <c r="V7" s="484"/>
      <c r="W7" s="482">
        <f>IF($W$8&lt;W6,"",IF(SMALL($V$22:$X$76,W6)&lt;$R$3,"UIT !",SMALL($V$22:$X$76,W6)))</f>
        <v>19.24</v>
      </c>
      <c r="X7" s="482"/>
      <c r="Y7" s="482">
        <f>IF($W$8&lt;Y6,"",IF(SMALL($V$22:$X$76,Y6)&lt;$R$3,"UIT !",SMALL($V$22:$X$76,Y6)))</f>
        <v>19.68</v>
      </c>
      <c r="Z7" s="483"/>
    </row>
    <row r="8" spans="1:26" ht="3.75" customHeight="1" thickBot="1">
      <c r="A8" s="30"/>
      <c r="B8" s="30"/>
      <c r="C8" s="30"/>
      <c r="D8" s="30"/>
      <c r="E8" s="26"/>
      <c r="F8" s="26"/>
      <c r="G8" s="26"/>
      <c r="H8" s="26"/>
      <c r="I8" s="26"/>
      <c r="J8" s="26"/>
      <c r="K8" s="26"/>
      <c r="L8" s="31"/>
      <c r="M8" s="31"/>
      <c r="N8" s="31"/>
      <c r="O8" s="32"/>
      <c r="P8" s="32"/>
      <c r="Q8" s="32"/>
      <c r="R8" s="32"/>
      <c r="S8" s="32"/>
      <c r="T8" s="32"/>
      <c r="U8" s="32"/>
      <c r="V8" s="32"/>
      <c r="W8" s="520">
        <f>COUNT(V22:X76)</f>
        <v>21</v>
      </c>
      <c r="X8" s="521"/>
      <c r="Y8" s="521"/>
      <c r="Z8" s="522"/>
    </row>
    <row r="9" spans="1:31" s="17" customFormat="1" ht="13.5" customHeight="1">
      <c r="A9" s="33"/>
      <c r="B9" s="523" t="str">
        <f>VLOOKUP("Naam hond",'[1]Strings'!A3:K102,'[1]Strings'!A1,FALSE)</f>
        <v>Hundename</v>
      </c>
      <c r="C9" s="523"/>
      <c r="D9" s="523"/>
      <c r="E9" s="498" t="str">
        <f>VLOOKUP("Ras",'[1]Strings'!A3:K102,'[1]Strings'!A1,FALSE)</f>
        <v>Rasse</v>
      </c>
      <c r="F9" s="499"/>
      <c r="G9" s="500"/>
      <c r="H9" s="499" t="str">
        <f>VLOOKUP("Sprong",'[1]Strings'!A3:K102,'[1]Strings'!A1,FALSE)</f>
        <v>Sprunghöhe</v>
      </c>
      <c r="I9" s="499"/>
      <c r="J9" s="506"/>
      <c r="K9" s="34" t="str">
        <f>VLOOKUP("controle",'[1]Strings'!A3:K102,'[1]Strings'!A1,FALSE)</f>
        <v>DE-Nr.</v>
      </c>
      <c r="L9" s="498" t="str">
        <f>VLOOKUP("BFB nr",'[1]Strings'!A3:K102,'[1]Strings'!A1,FALSE)</f>
        <v>Hunde Nr.</v>
      </c>
      <c r="M9" s="504"/>
      <c r="N9" s="499" t="str">
        <f>VLOOKUP("Geleider",'[1]Strings'!A3:K102,'[1]Strings'!A1,FALSE)</f>
        <v>Hundeführer</v>
      </c>
      <c r="O9" s="499"/>
      <c r="P9" s="499"/>
      <c r="Q9" s="499"/>
      <c r="R9" s="499"/>
      <c r="S9" s="499"/>
      <c r="T9" s="499"/>
      <c r="U9" s="499"/>
      <c r="V9" s="499"/>
      <c r="W9" s="514">
        <f>VLOOKUP("Kwalificatie",'[1]Strings'!A3:K102,'[1]Strings'!A1,FALSE)</f>
        <v>0</v>
      </c>
      <c r="X9" s="515"/>
      <c r="Y9" s="515"/>
      <c r="Z9" s="516"/>
      <c r="AA9" s="35"/>
      <c r="AB9" s="36"/>
      <c r="AC9" s="36"/>
      <c r="AD9" s="36"/>
      <c r="AE9" s="20"/>
    </row>
    <row r="10" spans="1:49" s="17" customFormat="1" ht="13.5" customHeight="1" thickBot="1">
      <c r="A10" s="37"/>
      <c r="B10" s="524">
        <f>VLOOKUP("Nom du chien",'[1]Strings'!A3:K102,'[1]Strings'!A1,FALSE)</f>
        <v>0</v>
      </c>
      <c r="C10" s="524"/>
      <c r="D10" s="524"/>
      <c r="E10" s="501">
        <f>VLOOKUP("Race(F)",'[1]Strings'!A3:K102,'[1]Strings'!A1,FALSE)</f>
        <v>0</v>
      </c>
      <c r="F10" s="502"/>
      <c r="G10" s="503"/>
      <c r="H10" s="502">
        <f>VLOOKUP("Saute",'[1]Strings'!A3:K102,'[1]Strings'!A1,FALSE)</f>
        <v>0</v>
      </c>
      <c r="I10" s="502"/>
      <c r="J10" s="507"/>
      <c r="K10" s="38"/>
      <c r="L10" s="501"/>
      <c r="M10" s="505" t="s">
        <v>15</v>
      </c>
      <c r="N10" s="502">
        <f>VLOOKUP("Conducteur",'[1]Strings'!A3:K102,'[1]Strings'!A1,FALSE)</f>
        <v>0</v>
      </c>
      <c r="O10" s="502"/>
      <c r="P10" s="502"/>
      <c r="Q10" s="502"/>
      <c r="R10" s="502"/>
      <c r="S10" s="502"/>
      <c r="T10" s="502"/>
      <c r="U10" s="502"/>
      <c r="V10" s="502"/>
      <c r="W10" s="517">
        <f>VLOOKUP("Qualification",'[1]Strings'!A3:K102,'[1]Strings'!A1,FALSE)</f>
        <v>0</v>
      </c>
      <c r="X10" s="518"/>
      <c r="Y10" s="518"/>
      <c r="Z10" s="519"/>
      <c r="AA10" s="35"/>
      <c r="AB10" s="36"/>
      <c r="AC10" s="36"/>
      <c r="AD10" s="36"/>
      <c r="AE10" s="20"/>
      <c r="AR10" s="17" t="str">
        <f>VLOOKUP("Veterans (&gt;=32)",'[1]Strings'!A3:K102,'[1]Strings'!A1,FALSE)</f>
        <v>Veterans (&gt;=32)</v>
      </c>
      <c r="AS10" s="463" t="e">
        <f>SMALL(AS11:AS19,1)+SMALL(AS11:AS19,2)+SMALL(AS11:AS19,3)+SMALL(AS11:AS19,4)</f>
        <v>#VALUE!</v>
      </c>
      <c r="AT10" s="18" t="s">
        <v>837</v>
      </c>
      <c r="AU10" s="18" t="s">
        <v>169</v>
      </c>
      <c r="AV10" s="18" t="s">
        <v>838</v>
      </c>
      <c r="AW10" s="18" t="s">
        <v>166</v>
      </c>
    </row>
    <row r="11" spans="1:49" s="25" customFormat="1" ht="15" customHeight="1" thickBot="1">
      <c r="A11" s="39">
        <v>1</v>
      </c>
      <c r="B11" s="493" t="str">
        <f>IF($L11="","",VLOOKUP($L11,Honden,2,FALSE))</f>
        <v>Pearl</v>
      </c>
      <c r="C11" s="494"/>
      <c r="D11" s="494"/>
      <c r="E11" s="493" t="str">
        <f>IF($L11="","",VLOOKUP($L11,Honden,3,FALSE))</f>
        <v>Border Collie</v>
      </c>
      <c r="F11" s="494"/>
      <c r="G11" s="494"/>
      <c r="H11" s="508" t="str">
        <f>IF($L11="","",VLOOKUP($L11,Honden,4,FALSE))</f>
        <v>35,00</v>
      </c>
      <c r="I11" s="509"/>
      <c r="J11" s="75"/>
      <c r="K11" s="1" t="str">
        <f>IF($L11="","",VLOOKUP($L11,Honden!$B$2:$I$1200,8,))</f>
        <v>ok</v>
      </c>
      <c r="L11" s="495">
        <v>1754</v>
      </c>
      <c r="M11" s="495"/>
      <c r="N11" s="485" t="str">
        <f>IF($L11="","",VLOOKUP($L11,Honden,5,FALSE))</f>
        <v>Sebastian</v>
      </c>
      <c r="O11" s="485"/>
      <c r="P11" s="485"/>
      <c r="Q11" s="485" t="e">
        <v>#N/A</v>
      </c>
      <c r="R11" s="485"/>
      <c r="S11" s="485"/>
      <c r="T11" s="485" t="e">
        <v>#N/A</v>
      </c>
      <c r="U11" s="485"/>
      <c r="V11" s="486"/>
      <c r="W11" s="40"/>
      <c r="X11" s="41"/>
      <c r="Y11" s="42"/>
      <c r="Z11" s="43"/>
      <c r="AA11" s="22"/>
      <c r="AB11" s="23"/>
      <c r="AC11" s="23"/>
      <c r="AD11" s="23"/>
      <c r="AE11" s="24"/>
      <c r="AR11" s="464" t="str">
        <f>IF($L11="","",VLOOKUP($L11,Honden,6,FALSE))</f>
        <v>23.08.2008</v>
      </c>
      <c r="AS11" s="465" t="e">
        <f aca="true" t="shared" si="0" ref="AS11:AS19">IF(AR11&lt;&gt;"",ROUNDDOWN(_XLL.BRTEILJAHRE(AR11,$O$1),0),99)</f>
        <v>#VALUE!</v>
      </c>
      <c r="AT11" s="25">
        <f>IF($L11="","",VLOOKUP($L11,Honden!$B$2:$L$1200,9,))</f>
        <v>0</v>
      </c>
      <c r="AU11" s="25">
        <f>IF($L11="","",VLOOKUP($L11,Honden!$B$2:$L$1200,11,))</f>
        <v>0</v>
      </c>
      <c r="AV11" s="473" t="str">
        <f>IF($L11="","",VLOOKUP($L11,Honden!$B$2:$L$1200,6,))</f>
        <v>23.08.2008</v>
      </c>
      <c r="AW11" s="473" t="str">
        <f>IF($L11="","",VLOOKUP($L11,Honden!$B$2:$L$1200,7,))</f>
        <v>06.08.2018</v>
      </c>
    </row>
    <row r="12" spans="1:49" s="25" customFormat="1" ht="15" customHeight="1" thickBot="1">
      <c r="A12" s="44">
        <v>2</v>
      </c>
      <c r="B12" s="493" t="str">
        <f>IF($L12="","",VLOOKUP($L12,Honden,2,FALSE))</f>
        <v>Giotto</v>
      </c>
      <c r="C12" s="494"/>
      <c r="D12" s="494"/>
      <c r="E12" s="493" t="str">
        <f>IF($L12="","",VLOOKUP($L12,Honden,3,FALSE))</f>
        <v>Border Collie</v>
      </c>
      <c r="F12" s="494"/>
      <c r="G12" s="494"/>
      <c r="H12" s="508" t="str">
        <f>IF($L12="","",VLOOKUP($L12,Honden,4,FALSE))</f>
        <v>35,00</v>
      </c>
      <c r="I12" s="509"/>
      <c r="J12" s="75"/>
      <c r="K12" s="1" t="str">
        <f>IF($L12="","",VLOOKUP($L12,Honden!$B$2:$I$1200,8,))</f>
        <v>ok</v>
      </c>
      <c r="L12" s="495">
        <v>2303</v>
      </c>
      <c r="M12" s="495"/>
      <c r="N12" s="485" t="str">
        <f>IF($L12="","",VLOOKUP($L12,Honden,5,FALSE))</f>
        <v>Olaf</v>
      </c>
      <c r="O12" s="485"/>
      <c r="P12" s="485"/>
      <c r="Q12" s="485" t="e">
        <v>#N/A</v>
      </c>
      <c r="R12" s="485"/>
      <c r="S12" s="485"/>
      <c r="T12" s="485" t="e">
        <v>#N/A</v>
      </c>
      <c r="U12" s="485"/>
      <c r="V12" s="486"/>
      <c r="W12" s="40"/>
      <c r="X12" s="41"/>
      <c r="Y12" s="42"/>
      <c r="Z12" s="43"/>
      <c r="AA12" s="22"/>
      <c r="AB12" s="23"/>
      <c r="AC12" s="23"/>
      <c r="AD12" s="23"/>
      <c r="AE12" s="24"/>
      <c r="AR12" s="464" t="str">
        <f>IF($L12="","",VLOOKUP($L12,Honden,6,FALSE))</f>
        <v>09.02.2014</v>
      </c>
      <c r="AS12" s="465" t="e">
        <f t="shared" si="0"/>
        <v>#VALUE!</v>
      </c>
      <c r="AT12" s="25" t="str">
        <f>IF($L12="","",VLOOKUP($L12,Honden!$B$2:$L$1200,9,))</f>
        <v>Riemer</v>
      </c>
      <c r="AU12" s="25">
        <f>IF($L12="","",VLOOKUP($L12,Honden!$B$2:$L$1200,11,))</f>
        <v>276093400544219</v>
      </c>
      <c r="AV12" s="473" t="str">
        <f>IF($L12="","",VLOOKUP($L12,Honden!$B$2:$L$1200,6,))</f>
        <v>09.02.2014</v>
      </c>
      <c r="AW12" s="473" t="str">
        <f>IF($L12="","",VLOOKUP($L12,Honden!$B$2:$L$1200,7,))</f>
        <v>06.07.2018</v>
      </c>
    </row>
    <row r="13" spans="1:49" s="25" customFormat="1" ht="15" customHeight="1" thickBot="1">
      <c r="A13" s="39">
        <v>3</v>
      </c>
      <c r="B13" s="493" t="str">
        <f>IF($L13="","",VLOOKUP($L13,Honden,2,FALSE))</f>
        <v>Corwin</v>
      </c>
      <c r="C13" s="494"/>
      <c r="D13" s="494"/>
      <c r="E13" s="493" t="str">
        <f>IF($L13="","",VLOOKUP($L13,Honden,3,FALSE))</f>
        <v>Border Collie</v>
      </c>
      <c r="F13" s="494"/>
      <c r="G13" s="494"/>
      <c r="H13" s="508" t="str">
        <f>IF($L13="","",VLOOKUP($L13,Honden,4,FALSE))</f>
        <v>35,00</v>
      </c>
      <c r="I13" s="509"/>
      <c r="J13" s="75"/>
      <c r="K13" s="1" t="str">
        <f>IF($L13="","",VLOOKUP($L13,Honden!$B$2:$I$1200,8,))</f>
        <v>ok</v>
      </c>
      <c r="L13" s="495">
        <v>2305</v>
      </c>
      <c r="M13" s="495"/>
      <c r="N13" s="485" t="str">
        <f>IF($L13="","",VLOOKUP($L13,Honden,5,FALSE))</f>
        <v>Manfred</v>
      </c>
      <c r="O13" s="485"/>
      <c r="P13" s="485"/>
      <c r="Q13" s="485" t="e">
        <v>#N/A</v>
      </c>
      <c r="R13" s="485"/>
      <c r="S13" s="485"/>
      <c r="T13" s="485" t="e">
        <v>#N/A</v>
      </c>
      <c r="U13" s="485"/>
      <c r="V13" s="486"/>
      <c r="W13" s="40"/>
      <c r="X13" s="41"/>
      <c r="Y13" s="42"/>
      <c r="Z13" s="43"/>
      <c r="AA13" s="22"/>
      <c r="AB13" s="23"/>
      <c r="AC13" s="23"/>
      <c r="AD13" s="23"/>
      <c r="AE13" s="24"/>
      <c r="AR13" s="464" t="str">
        <f>IF($L13="","",VLOOKUP($L13,Honden,6,FALSE))</f>
        <v>30.01.2011</v>
      </c>
      <c r="AS13" s="465" t="e">
        <f>IF(AR13&lt;&gt;"",ROUNDDOWN(_XLL.BRTEILJAHRE(AR13,$O$1),0),99)</f>
        <v>#VALUE!</v>
      </c>
      <c r="AT13" s="25" t="str">
        <f>IF($L13="","",VLOOKUP($L13,Honden!$B$2:$L$1200,9,))</f>
        <v>Müller</v>
      </c>
      <c r="AU13" s="25">
        <f>IF($L13="","",VLOOKUP($L13,Honden!$B$2:$L$1200,11,))</f>
        <v>40097809040408</v>
      </c>
      <c r="AV13" s="473" t="str">
        <f>IF($L13="","",VLOOKUP($L13,Honden!$B$2:$L$1200,6,))</f>
        <v>30.01.2011</v>
      </c>
      <c r="AW13" s="473" t="str">
        <f>IF($L13="","",VLOOKUP($L13,Honden!$B$2:$L$1200,7,))</f>
        <v>02.06.2018</v>
      </c>
    </row>
    <row r="14" spans="1:49" s="25" customFormat="1" ht="15" customHeight="1" thickBot="1">
      <c r="A14" s="44">
        <v>4</v>
      </c>
      <c r="B14" s="493" t="str">
        <f>IF($L14="","",VLOOKUP($L14,Honden,2,FALSE))</f>
        <v>Arriva</v>
      </c>
      <c r="C14" s="494"/>
      <c r="D14" s="494"/>
      <c r="E14" s="493" t="str">
        <f>IF($L14="","",VLOOKUP($L14,Honden,3,FALSE))</f>
        <v>Border Collie</v>
      </c>
      <c r="F14" s="494"/>
      <c r="G14" s="494"/>
      <c r="H14" s="508" t="str">
        <f>IF($L14="","",VLOOKUP($L14,Honden,4,FALSE))</f>
        <v>30,00</v>
      </c>
      <c r="I14" s="509"/>
      <c r="J14" s="75"/>
      <c r="K14" s="1">
        <f>IF($L14="","",VLOOKUP($L14,Honden!$B$2:$I$1200,8,))</f>
        <v>8801</v>
      </c>
      <c r="L14" s="495">
        <v>2307</v>
      </c>
      <c r="M14" s="495"/>
      <c r="N14" s="485" t="str">
        <f>IF($L14="","",VLOOKUP($L14,Honden,5,FALSE))</f>
        <v>Martha</v>
      </c>
      <c r="O14" s="485"/>
      <c r="P14" s="485"/>
      <c r="Q14" s="485" t="e">
        <v>#N/A</v>
      </c>
      <c r="R14" s="485"/>
      <c r="S14" s="485"/>
      <c r="T14" s="485" t="e">
        <v>#N/A</v>
      </c>
      <c r="U14" s="485"/>
      <c r="V14" s="486"/>
      <c r="W14" s="40"/>
      <c r="X14" s="41"/>
      <c r="Y14" s="42"/>
      <c r="Z14" s="43"/>
      <c r="AA14" s="22"/>
      <c r="AB14" s="23"/>
      <c r="AC14" s="23"/>
      <c r="AD14" s="23"/>
      <c r="AE14" s="24"/>
      <c r="AR14" s="464" t="str">
        <f>IF($L14="","",VLOOKUP($L14,Honden,6,FALSE))</f>
        <v>22.05.2012</v>
      </c>
      <c r="AS14" s="465" t="e">
        <f>IF(AR14&lt;&gt;"",ROUNDDOWN(_XLL.BRTEILJAHRE(AR14,$O$1),0),99)</f>
        <v>#VALUE!</v>
      </c>
      <c r="AT14" s="25" t="str">
        <f>IF($L14="","",VLOOKUP($L14,Honden!$B$2:$L$1200,9,))</f>
        <v>Rill</v>
      </c>
      <c r="AU14" s="25">
        <f>IF($L14="","",VLOOKUP($L14,Honden!$B$2:$L$1200,11,))</f>
        <v>40097809083761</v>
      </c>
      <c r="AV14" s="473" t="str">
        <f>IF($L14="","",VLOOKUP($L14,Honden!$B$2:$L$1200,6,))</f>
        <v>22.05.2012</v>
      </c>
      <c r="AW14" s="473" t="str">
        <f>IF($L14="","",VLOOKUP($L14,Honden!$B$2:$L$1200,7,))</f>
        <v>30.09.2017</v>
      </c>
    </row>
    <row r="15" spans="1:49" s="25" customFormat="1" ht="15" customHeight="1" thickBot="1">
      <c r="A15" s="39">
        <v>5</v>
      </c>
      <c r="B15" s="493" t="str">
        <f>IF($L15="","",VLOOKUP($L15,Honden,2,FALSE))</f>
        <v>Rambo</v>
      </c>
      <c r="C15" s="494"/>
      <c r="D15" s="494"/>
      <c r="E15" s="493" t="str">
        <f>IF($L15="","",VLOOKUP($L15,Honden,3,FALSE))</f>
        <v>Australian Shepherd</v>
      </c>
      <c r="F15" s="494"/>
      <c r="G15" s="494"/>
      <c r="H15" s="508" t="str">
        <f>IF($L15="","",VLOOKUP($L15,Honden,4,FALSE))</f>
        <v>35,00</v>
      </c>
      <c r="I15" s="509"/>
      <c r="J15" s="75"/>
      <c r="K15" s="1" t="str">
        <f>IF($L15="","",VLOOKUP($L15,Honden!$B$2:$I$1200,8,))</f>
        <v>ok</v>
      </c>
      <c r="L15" s="495">
        <v>2306</v>
      </c>
      <c r="M15" s="495"/>
      <c r="N15" s="485" t="str">
        <f>IF($L15="","",VLOOKUP($L15,Honden,5,FALSE))</f>
        <v>Manfred</v>
      </c>
      <c r="O15" s="485"/>
      <c r="P15" s="485"/>
      <c r="Q15" s="485" t="e">
        <v>#N/A</v>
      </c>
      <c r="R15" s="485"/>
      <c r="S15" s="485"/>
      <c r="T15" s="485" t="e">
        <v>#N/A</v>
      </c>
      <c r="U15" s="485"/>
      <c r="V15" s="486"/>
      <c r="W15" s="40"/>
      <c r="X15" s="41"/>
      <c r="Y15" s="42"/>
      <c r="Z15" s="43"/>
      <c r="AA15" s="22"/>
      <c r="AB15" s="23"/>
      <c r="AC15" s="23"/>
      <c r="AD15" s="23"/>
      <c r="AE15" s="24"/>
      <c r="AR15" s="464" t="str">
        <f>IF($L15="","",VLOOKUP($L15,Honden,6,FALSE))</f>
        <v>05.01.2007</v>
      </c>
      <c r="AS15" s="465" t="e">
        <f>IF(AR15&lt;&gt;"",ROUNDDOWN(_XLL.BRTEILJAHRE(AR15,$O$1),0),99)</f>
        <v>#VALUE!</v>
      </c>
      <c r="AT15" s="25" t="str">
        <f>IF($L15="","",VLOOKUP($L15,Honden!$B$2:$L$1200,9,))</f>
        <v>Müller</v>
      </c>
      <c r="AU15" s="25">
        <f>IF($L15="","",VLOOKUP($L15,Honden!$B$2:$L$1200,11,))</f>
        <v>276097200647436</v>
      </c>
      <c r="AV15" s="473" t="str">
        <f>IF($L15="","",VLOOKUP($L15,Honden!$B$2:$L$1200,6,))</f>
        <v>05.01.2007</v>
      </c>
      <c r="AW15" s="473" t="str">
        <f>IF($L15="","",VLOOKUP($L15,Honden!$B$2:$L$1200,7,))</f>
        <v>01.05.2017</v>
      </c>
    </row>
    <row r="16" spans="1:49" s="25" customFormat="1" ht="15" customHeight="1" thickBot="1">
      <c r="A16" s="44">
        <v>6</v>
      </c>
      <c r="B16" s="493" t="str">
        <f>IF($L16="","",VLOOKUP($L16,Honden,2,FALSE))</f>
        <v>Crazy Girl</v>
      </c>
      <c r="C16" s="494"/>
      <c r="D16" s="494"/>
      <c r="E16" s="493" t="str">
        <f>IF($L16="","",VLOOKUP($L16,Honden,3,FALSE))</f>
        <v>Sheltie</v>
      </c>
      <c r="F16" s="494"/>
      <c r="G16" s="494"/>
      <c r="H16" s="508" t="str">
        <f>IF($L16="","",VLOOKUP($L16,Honden,4,FALSE))</f>
        <v>17,50</v>
      </c>
      <c r="I16" s="509"/>
      <c r="J16" s="75"/>
      <c r="K16" s="1">
        <v>20</v>
      </c>
      <c r="L16" s="495">
        <v>2398</v>
      </c>
      <c r="M16" s="495"/>
      <c r="N16" s="485" t="str">
        <f>IF($L16="","",VLOOKUP($L16,Honden,5,FALSE))</f>
        <v>Franzi</v>
      </c>
      <c r="O16" s="485"/>
      <c r="P16" s="485"/>
      <c r="Q16" s="485" t="e">
        <v>#N/A</v>
      </c>
      <c r="R16" s="485"/>
      <c r="S16" s="485"/>
      <c r="T16" s="485" t="e">
        <v>#N/A</v>
      </c>
      <c r="U16" s="485"/>
      <c r="V16" s="486"/>
      <c r="W16" s="40"/>
      <c r="X16" s="41"/>
      <c r="Y16" s="42"/>
      <c r="Z16" s="43"/>
      <c r="AA16" s="22"/>
      <c r="AB16" s="23"/>
      <c r="AC16" s="23"/>
      <c r="AD16" s="23"/>
      <c r="AE16" s="24"/>
      <c r="AM16" s="45"/>
      <c r="AR16" s="464" t="str">
        <f>IF($L16="","",VLOOKUP($L16,Honden,6,FALSE))</f>
        <v>27.03.2013</v>
      </c>
      <c r="AS16" s="465" t="e">
        <f t="shared" si="0"/>
        <v>#VALUE!</v>
      </c>
      <c r="AT16" s="25" t="str">
        <f>IF($L16="","",VLOOKUP($L16,Honden!$B$2:$L$1200,9,))</f>
        <v>Söldner</v>
      </c>
      <c r="AU16" s="25">
        <f>IF($L16="","",VLOOKUP($L16,Honden!$B$2:$L$1200,11,))</f>
        <v>276098200020439</v>
      </c>
      <c r="AV16" s="473" t="str">
        <f>IF($L16="","",VLOOKUP($L16,Honden!$B$2:$L$1200,6,))</f>
        <v>27.03.2013</v>
      </c>
      <c r="AW16" s="473" t="str">
        <f>IF($L16="","",VLOOKUP($L16,Honden!$B$2:$L$1200,7,))</f>
        <v>01.09.2018</v>
      </c>
    </row>
    <row r="17" spans="1:49" s="25" customFormat="1" ht="15" customHeight="1" thickBot="1">
      <c r="A17" s="39">
        <v>7</v>
      </c>
      <c r="B17" s="493">
        <f>IF($L17="","",VLOOKUP($L17,Honden,2,FALSE))</f>
      </c>
      <c r="C17" s="494"/>
      <c r="D17" s="494"/>
      <c r="E17" s="493">
        <f>IF($L17="","",VLOOKUP($L17,Honden,3,FALSE))</f>
      </c>
      <c r="F17" s="494"/>
      <c r="G17" s="494"/>
      <c r="H17" s="508">
        <f>IF($L17="","",VLOOKUP($L17,Honden,4,FALSE))</f>
      </c>
      <c r="I17" s="509"/>
      <c r="J17" s="75"/>
      <c r="K17" s="1">
        <f>IF($L17="","",VLOOKUP($L17,Honden!$B$2:$I$1200,8,))</f>
      </c>
      <c r="L17" s="495"/>
      <c r="M17" s="495"/>
      <c r="N17" s="485">
        <f>IF($L17="","",VLOOKUP($L17,Honden,5,FALSE))</f>
      </c>
      <c r="O17" s="485"/>
      <c r="P17" s="485"/>
      <c r="Q17" s="485" t="e">
        <v>#N/A</v>
      </c>
      <c r="R17" s="485"/>
      <c r="S17" s="485"/>
      <c r="T17" s="485" t="e">
        <v>#N/A</v>
      </c>
      <c r="U17" s="485"/>
      <c r="V17" s="486"/>
      <c r="W17" s="40"/>
      <c r="X17" s="41"/>
      <c r="Y17" s="42"/>
      <c r="Z17" s="43"/>
      <c r="AA17" s="22"/>
      <c r="AB17" s="23"/>
      <c r="AC17" s="23"/>
      <c r="AD17" s="23"/>
      <c r="AE17" s="24"/>
      <c r="AR17" s="464">
        <f>IF($L17="","",VLOOKUP($L17,Honden,6,FALSE))</f>
      </c>
      <c r="AS17" s="465">
        <f t="shared" si="0"/>
        <v>99</v>
      </c>
      <c r="AT17" s="25">
        <f>IF($L17="","",VLOOKUP($L17,Honden!$B$2:$L$1200,9,))</f>
      </c>
      <c r="AU17" s="25">
        <f>IF($L17="","",VLOOKUP($L17,Honden!$B$2:$L$1200,11,))</f>
      </c>
      <c r="AV17" s="473">
        <f>IF($L17="","",VLOOKUP($L17,Honden!$B$2:$L$1200,6,))</f>
      </c>
      <c r="AW17" s="473">
        <f>IF($L17="","",VLOOKUP($L17,Honden!$B$2:$L$1200,7,))</f>
      </c>
    </row>
    <row r="18" spans="1:49" s="25" customFormat="1" ht="15" customHeight="1" thickBot="1">
      <c r="A18" s="44">
        <v>8</v>
      </c>
      <c r="B18" s="493">
        <f>IF($L18="","",VLOOKUP($L18,Honden,2,FALSE))</f>
      </c>
      <c r="C18" s="494"/>
      <c r="D18" s="494"/>
      <c r="E18" s="493">
        <f>IF($L18="","",VLOOKUP($L18,Honden,3,FALSE))</f>
      </c>
      <c r="F18" s="494"/>
      <c r="G18" s="494"/>
      <c r="H18" s="508">
        <f>IF($L18="","",VLOOKUP($L18,Honden,4,FALSE))</f>
      </c>
      <c r="I18" s="509"/>
      <c r="J18" s="75"/>
      <c r="K18" s="1">
        <f>IF($L18="","",VLOOKUP($L18,Honden!$B$2:$I$1200,8,))</f>
      </c>
      <c r="L18" s="495"/>
      <c r="M18" s="495"/>
      <c r="N18" s="485">
        <f>IF($L18="","",VLOOKUP($L18,Honden,5,FALSE))</f>
      </c>
      <c r="O18" s="485"/>
      <c r="P18" s="485"/>
      <c r="Q18" s="485" t="e">
        <v>#N/A</v>
      </c>
      <c r="R18" s="485"/>
      <c r="S18" s="485"/>
      <c r="T18" s="485" t="e">
        <v>#N/A</v>
      </c>
      <c r="U18" s="485"/>
      <c r="V18" s="486"/>
      <c r="W18" s="40"/>
      <c r="X18" s="41"/>
      <c r="Y18" s="42"/>
      <c r="Z18" s="43"/>
      <c r="AA18" s="22"/>
      <c r="AB18" s="23"/>
      <c r="AC18" s="23"/>
      <c r="AD18" s="23"/>
      <c r="AE18" s="24"/>
      <c r="AR18" s="464">
        <f>IF($L18="","",VLOOKUP($L18,Honden,6,FALSE))</f>
      </c>
      <c r="AS18" s="465">
        <f t="shared" si="0"/>
        <v>99</v>
      </c>
      <c r="AT18" s="25">
        <f>IF($L18="","",VLOOKUP($L18,Honden!$B$2:$L$1200,9,))</f>
      </c>
      <c r="AU18" s="25">
        <f>IF($L18="","",VLOOKUP($L18,Honden!$B$2:$L$1200,11,))</f>
      </c>
      <c r="AV18" s="473">
        <f>IF($L18="","",VLOOKUP($L18,Honden!$B$2:$L$1200,6,))</f>
      </c>
      <c r="AW18" s="473">
        <f>IF($L18="","",VLOOKUP($L18,Honden!$B$2:$L$1200,7,))</f>
      </c>
    </row>
    <row r="19" spans="1:49" s="25" customFormat="1" ht="15" customHeight="1" thickBot="1">
      <c r="A19" s="39">
        <v>9</v>
      </c>
      <c r="B19" s="493">
        <f>IF($L19="","",VLOOKUP($L19,Honden,2,FALSE))</f>
      </c>
      <c r="C19" s="494"/>
      <c r="D19" s="494"/>
      <c r="E19" s="493">
        <f>IF($L19="","",VLOOKUP($L19,Honden,3,FALSE))</f>
      </c>
      <c r="F19" s="494"/>
      <c r="G19" s="494"/>
      <c r="H19" s="508">
        <f>IF($L19="","",VLOOKUP($L19,Honden,4,FALSE))</f>
      </c>
      <c r="I19" s="509"/>
      <c r="J19" s="75"/>
      <c r="K19" s="1">
        <f>IF($L19="","",VLOOKUP($L19,Honden!$B$2:$I$1200,8,))</f>
      </c>
      <c r="L19" s="495"/>
      <c r="M19" s="495"/>
      <c r="N19" s="485">
        <f>IF($L19="","",VLOOKUP($L19,Honden,5,FALSE))</f>
      </c>
      <c r="O19" s="485"/>
      <c r="P19" s="485"/>
      <c r="Q19" s="485" t="e">
        <v>#N/A</v>
      </c>
      <c r="R19" s="485"/>
      <c r="S19" s="485"/>
      <c r="T19" s="485" t="e">
        <v>#N/A</v>
      </c>
      <c r="U19" s="485"/>
      <c r="V19" s="486"/>
      <c r="W19" s="47"/>
      <c r="X19" s="48"/>
      <c r="Y19" s="49"/>
      <c r="Z19" s="50"/>
      <c r="AA19" s="22"/>
      <c r="AB19" s="23"/>
      <c r="AC19" s="23"/>
      <c r="AD19" s="23"/>
      <c r="AE19" s="566">
        <v>1</v>
      </c>
      <c r="AF19" s="567"/>
      <c r="AG19" s="566">
        <v>2</v>
      </c>
      <c r="AH19" s="567"/>
      <c r="AI19" s="566">
        <v>3</v>
      </c>
      <c r="AJ19" s="567"/>
      <c r="AK19" s="566">
        <v>4</v>
      </c>
      <c r="AL19" s="567"/>
      <c r="AM19" s="566">
        <v>5</v>
      </c>
      <c r="AN19" s="567"/>
      <c r="AO19" s="566">
        <v>6</v>
      </c>
      <c r="AP19" s="567"/>
      <c r="AR19" s="464">
        <f>IF($L19="","",VLOOKUP($L19,Honden,6,FALSE))</f>
      </c>
      <c r="AS19" s="465">
        <f t="shared" si="0"/>
        <v>99</v>
      </c>
      <c r="AT19" s="25">
        <f>IF($L19="","",VLOOKUP($L19,Honden!$B$2:$L$1200,9,))</f>
      </c>
      <c r="AU19" s="25">
        <f>IF($L19="","",VLOOKUP($L19,Honden!$B$2:$L$1200,11,))</f>
      </c>
      <c r="AV19" s="473">
        <f>IF($L19="","",VLOOKUP($L19,Honden!$B$2:$L$1200,6,))</f>
      </c>
      <c r="AW19" s="473">
        <f>IF($L19="","",VLOOKUP($L19,Honden!$B$2:$L$1200,7,))</f>
      </c>
    </row>
    <row r="20" spans="1:42" ht="6" customHeight="1">
      <c r="A20" s="32"/>
      <c r="B20" s="32"/>
      <c r="C20" s="51"/>
      <c r="D20" s="5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2"/>
      <c r="AP20" s="53"/>
    </row>
    <row r="21" spans="1:44" ht="15" customHeight="1">
      <c r="A21" s="364"/>
      <c r="B21" s="54"/>
      <c r="C21" s="365"/>
      <c r="D21" s="32"/>
      <c r="E21" s="55" t="str">
        <f>VLOOKUP("race",'[1]Strings'!$A$3:$K$102,'[1]Strings'!$A$1,FALSE)</f>
        <v>Rennen</v>
      </c>
      <c r="F21" s="55" t="str">
        <f>VLOOKUP("baan / piste",'[1]Strings'!$A$3:$K$102,'[1]Strings'!$A$1,FALSE)</f>
        <v>Bahn</v>
      </c>
      <c r="G21" s="55"/>
      <c r="H21" s="476" t="str">
        <f>VLOOKUP("tegen / contre",'[1]Strings'!$A$3:$K$102,'[1]Strings'!$A$1,FALSE)</f>
        <v>gegen</v>
      </c>
      <c r="I21" s="476"/>
      <c r="J21" s="476"/>
      <c r="K21" s="476"/>
      <c r="L21" s="477"/>
      <c r="M21" s="477" t="str">
        <f>VLOOKUP("heat",'[1]Strings'!$A$3:$K$102,'[1]Strings'!$A$1,FALSE)</f>
        <v>Lauf</v>
      </c>
      <c r="N21" s="477"/>
      <c r="O21" s="476" t="str">
        <f>VLOOKUP("Honden / chiens",'[1]Strings'!$A$3:$K$102,'[1]Strings'!$A$1,FALSE)</f>
        <v>Hunde</v>
      </c>
      <c r="P21" s="476"/>
      <c r="Q21" s="476"/>
      <c r="R21" s="476"/>
      <c r="S21" s="476"/>
      <c r="T21" s="476"/>
      <c r="U21" s="162" t="str">
        <f>VLOOKUP("          Tijd/temps",'[1]Strings'!$A$3:$K$102,'[1]Strings'!$A$1,FALSE)</f>
        <v>           Zeit</v>
      </c>
      <c r="V21" s="163"/>
      <c r="W21" s="163"/>
      <c r="X21" s="163"/>
      <c r="Y21" s="161" t="str">
        <f>VLOOKUP("    W / L / T",'[1]Strings'!$A$3:$K$102,'[1]Strings'!$A$1,FALSE)</f>
        <v>    W/L/T</v>
      </c>
      <c r="Z21" s="55"/>
      <c r="AA21" s="56"/>
      <c r="AB21" s="55"/>
      <c r="AC21" s="55"/>
      <c r="AD21" s="55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0"/>
      <c r="AR21" s="478"/>
    </row>
    <row r="22" spans="1:44" ht="15" customHeight="1">
      <c r="A22" s="366"/>
      <c r="B22" s="32"/>
      <c r="C22" s="367"/>
      <c r="D22" s="32"/>
      <c r="E22" s="488">
        <f>RR4!O3</f>
        <v>1</v>
      </c>
      <c r="F22" s="59" t="str">
        <f>IF(RR4!Q3="rood",VLOOKUP("Rood / Rouge",'[1]Strings'!$A$3:$K$102,'[1]Strings'!$A$1,FALSE),"")</f>
        <v>Rot</v>
      </c>
      <c r="H22" s="478" t="str">
        <f>VLOOKUP(E22&amp;$C$3,RR4!$U$5:$AV$33,28,FALSE)</f>
        <v>BayernXpress I</v>
      </c>
      <c r="I22" s="478"/>
      <c r="J22" s="478"/>
      <c r="K22" s="478"/>
      <c r="L22" s="479"/>
      <c r="M22" s="491">
        <v>1</v>
      </c>
      <c r="N22" s="492"/>
      <c r="O22" s="12">
        <v>2</v>
      </c>
      <c r="P22" s="12">
        <v>1</v>
      </c>
      <c r="Q22" s="12">
        <v>3</v>
      </c>
      <c r="R22" s="12">
        <v>4</v>
      </c>
      <c r="S22" s="468"/>
      <c r="T22" s="469"/>
      <c r="U22" s="61">
        <f>IF(V22="","",IF(COUNT(O22:T22)&lt;&gt;4,"X",""))</f>
      </c>
      <c r="V22" s="480">
        <v>18.92</v>
      </c>
      <c r="W22" s="481"/>
      <c r="X22" s="481"/>
      <c r="Y22" s="61">
        <f>IF($V22="","",IF($R$3&gt;$V22,"X",""))</f>
      </c>
      <c r="Z22" s="12" t="s">
        <v>2992</v>
      </c>
      <c r="AA22" s="11">
        <f>IF(OR(AND(V22="",Z22&lt;&gt;""),AND(V22&lt;&gt;"",Z22=""),AND(V22="w",Z22&lt;&gt;"w"),AND(V22="nt",Z22="w"),RR4!R4="x"),"x","")</f>
      </c>
      <c r="AB22" s="61"/>
      <c r="AC22" s="61"/>
      <c r="AE22" s="62">
        <f>IF(AND(COUNT($V22)=1,OR($O22=1,$P22=1,$Q22=1,$R22=1,$S22=1,$T22=1)),INT($V22),"x")</f>
        <v>18</v>
      </c>
      <c r="AF22" s="63">
        <f>IF(AE22="x","",IF(AE22=SMALL($AE$22:$AE$76,1),AE22,""))</f>
        <v>18</v>
      </c>
      <c r="AG22" s="62">
        <f>IF(AND(COUNT($V22)=1,OR($O22=2,$P22=2,$Q22=2,$R22=2,$S22=2,$T22=2)),INT($V22),"x")</f>
        <v>18</v>
      </c>
      <c r="AH22" s="63">
        <f>IF(AG22="x","",IF(AG22=SMALL($AG$22:$AG$76,1),AG22,""))</f>
        <v>18</v>
      </c>
      <c r="AI22" s="62">
        <f>IF(AND(COUNT($V22)=1,OR($O22=3,$P22=3,$Q22=3,$R22=3,$S22=3,$T22=3)),INT($V22),"x")</f>
        <v>18</v>
      </c>
      <c r="AJ22" s="63">
        <f>IF(AI22="x","",IF(AI22=SMALL($AI$22:$AI$76,1),AI22,""))</f>
        <v>18</v>
      </c>
      <c r="AK22" s="62">
        <f>IF(AND(COUNT($V22)=1,OR($O22=4,$P22=4,$Q22=4,$R22=4,$S22=4,$T22=4)),INT($V22),"x")</f>
        <v>18</v>
      </c>
      <c r="AL22" s="63">
        <f>IF(AK22="x","",IF(AK22=SMALL($AK$22:$AK$76,1),AK22,""))</f>
        <v>18</v>
      </c>
      <c r="AM22" s="62" t="str">
        <f>IF(AND(COUNT($V22)=1,OR($O22=5,$P22=5,$Q22=5,$R22=5,$S22=5,$T22=5)),INT($V22),"x")</f>
        <v>x</v>
      </c>
      <c r="AN22" s="63">
        <f>IF(AM22="x","",IF(AM22=SMALL($AM$22:$AM$76,1),AM22,""))</f>
      </c>
      <c r="AO22" s="62" t="str">
        <f>IF(AND(COUNT($V22)=1,OR($O22=6,$P22=6,$Q22=6,$R22=6,$S22=6,$T22=6)),INT($V22),"x")</f>
        <v>x</v>
      </c>
      <c r="AP22" s="63">
        <f>IF(AO22="x","",IF(AO22=SMALL($AO$22:$AO$76,1),AO22,""))</f>
      </c>
      <c r="AQ22" s="64"/>
      <c r="AR22" s="32"/>
    </row>
    <row r="23" spans="1:44" ht="15" customHeight="1">
      <c r="A23" s="366"/>
      <c r="B23" s="32"/>
      <c r="C23" s="367"/>
      <c r="D23" s="32"/>
      <c r="E23" s="489"/>
      <c r="F23" s="59">
        <f>IF(RR4!Q3="blauw",VLOOKUP("Blauw / Bleu",'[1]Strings'!$A$3:$K$102,'[1]Strings'!$A$1,FALSE),"")</f>
      </c>
      <c r="H23" s="490">
        <f>IF(OR(U22="x",Y22="x",AA22="x"),"CONTROLEER INVOER       HEAT 1",IF(OR(U23="x",Y23="x",AA23="x"),"CONTROLEER INVOER       HEAT 2",IF(OR(U24="x",Y24="x",AA24="x"),"CONTROLEER INVOER       HEAT 3",IF(OR(U25="x",Y25="x",AA25="x"),"CONTROLEER INVOER       HEAT 4",IF(OR(U26="x",Y26="x",AA26="x"),"CONTROLEER INVOER       HEAT 5","")))))</f>
      </c>
      <c r="I23" s="490"/>
      <c r="J23" s="490"/>
      <c r="K23" s="490"/>
      <c r="L23" s="490"/>
      <c r="M23" s="491">
        <v>2</v>
      </c>
      <c r="N23" s="492"/>
      <c r="O23" s="12">
        <v>2</v>
      </c>
      <c r="P23" s="12">
        <v>1</v>
      </c>
      <c r="Q23" s="12">
        <v>3</v>
      </c>
      <c r="R23" s="12">
        <v>4</v>
      </c>
      <c r="S23" s="468"/>
      <c r="T23" s="469"/>
      <c r="U23" s="61">
        <f>IF(V23="","",IF(COUNT(O23:T23)&lt;&gt;4,"X",""))</f>
      </c>
      <c r="V23" s="480">
        <v>19.73</v>
      </c>
      <c r="W23" s="481"/>
      <c r="X23" s="481"/>
      <c r="Y23" s="61">
        <f>IF($V23="","",IF($R$3&gt;$V23,"X",""))</f>
      </c>
      <c r="Z23" s="12" t="s">
        <v>2992</v>
      </c>
      <c r="AA23" s="11">
        <f>IF(OR(AND(V23="",Z23&lt;&gt;""),AND(V23&lt;&gt;"",Z23=""),AND(V23="w",Z23&lt;&gt;"w"),AND(V23="nt",Z23="w"),RR4!R5="x"),"x","")</f>
      </c>
      <c r="AB23" s="61"/>
      <c r="AC23" s="61"/>
      <c r="AE23" s="62">
        <f>IF(AND(COUNT($V23)=1,OR($O23=1,$P23=1,$Q23=1,$R23=1,$S23=1,$T23=1)),INT($V23),"x")</f>
        <v>19</v>
      </c>
      <c r="AF23" s="63">
        <f>IF(AE23="x","",IF(AE23=SMALL($AE$22:$AE$76,1),AE23,""))</f>
      </c>
      <c r="AG23" s="62">
        <f>IF(AND(COUNT($V23)=1,OR($O23=2,$P23=2,$Q23=2,$R23=2,$S23=2,$T23=2)),INT($V23),"x")</f>
        <v>19</v>
      </c>
      <c r="AH23" s="63">
        <f>IF(AG23="x","",IF(AG23=SMALL($AG$22:$AG$76,1),AG23,""))</f>
      </c>
      <c r="AI23" s="62">
        <f>IF(AND(COUNT($V23)=1,OR($O23=3,$P23=3,$Q23=3,$R23=3,$S23=3,$T23=3)),INT($V23),"x")</f>
        <v>19</v>
      </c>
      <c r="AJ23" s="63">
        <f>IF(AI23="x","",IF(AI23=SMALL($AI$22:$AI$76,1),AI23,""))</f>
      </c>
      <c r="AK23" s="62">
        <f>IF(AND(COUNT($V23)=1,OR($O23=4,$P23=4,$Q23=4,$R23=4,$S23=4,$T23=4)),INT($V23),"x")</f>
        <v>19</v>
      </c>
      <c r="AL23" s="63">
        <f>IF(AK23="x","",IF(AK23=SMALL($AK$22:$AK$76,1),AK23,""))</f>
      </c>
      <c r="AM23" s="62" t="str">
        <f>IF(AND(COUNT($V23)=1,OR($O23=5,$P23=5,$Q23=5,$R23=5,$S23=5,$T23=5)),INT($V23),"x")</f>
        <v>x</v>
      </c>
      <c r="AN23" s="63">
        <f>IF(AM23="x","",IF(AM23=SMALL($AM$22:$AM$76,1),AM23,""))</f>
      </c>
      <c r="AO23" s="62" t="str">
        <f>IF(AND(COUNT($V23)=1,OR($O23=6,$P23=6,$Q23=6,$R23=6,$S23=6,$T23=6)),INT($V23),"x")</f>
        <v>x</v>
      </c>
      <c r="AP23" s="63">
        <f>IF(AO23="x","",IF(AO23=SMALL($AO$22:$AO$76,1),AO23,""))</f>
      </c>
      <c r="AQ23" s="64"/>
      <c r="AR23" s="32"/>
    </row>
    <row r="24" spans="1:44" ht="15" customHeight="1">
      <c r="A24" s="366"/>
      <c r="B24" s="32"/>
      <c r="C24" s="367"/>
      <c r="D24" s="32"/>
      <c r="E24" s="2" t="str">
        <f>uitslagen!$B$2</f>
        <v>RR</v>
      </c>
      <c r="H24" s="490"/>
      <c r="I24" s="490"/>
      <c r="J24" s="490"/>
      <c r="K24" s="490"/>
      <c r="L24" s="490"/>
      <c r="M24" s="491">
        <v>3</v>
      </c>
      <c r="N24" s="492"/>
      <c r="O24" s="12">
        <v>2</v>
      </c>
      <c r="P24" s="12">
        <v>1</v>
      </c>
      <c r="Q24" s="12">
        <v>3</v>
      </c>
      <c r="R24" s="12">
        <v>4</v>
      </c>
      <c r="S24" s="468"/>
      <c r="T24" s="469"/>
      <c r="U24" s="61">
        <f>IF(V24="","",IF(COUNT(O24:T24)&lt;&gt;4,"X",""))</f>
      </c>
      <c r="V24" s="480">
        <v>20.6</v>
      </c>
      <c r="W24" s="481"/>
      <c r="X24" s="481"/>
      <c r="Y24" s="61">
        <f>IF($V24="","",IF($R$3&gt;$V24,"X",""))</f>
      </c>
      <c r="Z24" s="12" t="s">
        <v>2992</v>
      </c>
      <c r="AA24" s="11">
        <f>IF(OR(AND(V24="",Z24&lt;&gt;""),AND(V24&lt;&gt;"",Z24=""),AND(V24="w",Z24&lt;&gt;"w"),AND(V24="nt",Z24="w"),RR4!R6="x"),"x","")</f>
      </c>
      <c r="AB24" s="61"/>
      <c r="AC24" s="61"/>
      <c r="AE24" s="62">
        <f>IF(AND(COUNT($V24)=1,OR($O24=1,$P24=1,$Q24=1,$R24=1,$S24=1,$T24=1)),INT($V24),"x")</f>
        <v>20</v>
      </c>
      <c r="AF24" s="63">
        <f>IF(AE24="x","",IF(AE24=SMALL($AE$22:$AE$76,1),AE24,""))</f>
      </c>
      <c r="AG24" s="62">
        <f>IF(AND(COUNT($V24)=1,OR($O24=2,$P24=2,$Q24=2,$R24=2,$S24=2,$T24=2)),INT($V24),"x")</f>
        <v>20</v>
      </c>
      <c r="AH24" s="63">
        <f>IF(AG24="x","",IF(AG24=SMALL($AG$22:$AG$76,1),AG24,""))</f>
      </c>
      <c r="AI24" s="62">
        <f>IF(AND(COUNT($V24)=1,OR($O24=3,$P24=3,$Q24=3,$R24=3,$S24=3,$T24=3)),INT($V24),"x")</f>
        <v>20</v>
      </c>
      <c r="AJ24" s="63">
        <f>IF(AI24="x","",IF(AI24=SMALL($AI$22:$AI$76,1),AI24,""))</f>
      </c>
      <c r="AK24" s="62">
        <f>IF(AND(COUNT($V24)=1,OR($O24=4,$P24=4,$Q24=4,$R24=4,$S24=4,$T24=4)),INT($V24),"x")</f>
        <v>20</v>
      </c>
      <c r="AL24" s="63">
        <f>IF(AK24="x","",IF(AK24=SMALL($AK$22:$AK$76,1),AK24,""))</f>
      </c>
      <c r="AM24" s="62" t="str">
        <f>IF(AND(COUNT($V24)=1,OR($O24=5,$P24=5,$Q24=5,$R24=5,$S24=5,$T24=5)),INT($V24),"x")</f>
        <v>x</v>
      </c>
      <c r="AN24" s="63">
        <f>IF(AM24="x","",IF(AM24=SMALL($AM$22:$AM$76,1),AM24,""))</f>
      </c>
      <c r="AO24" s="62" t="str">
        <f>IF(AND(COUNT($V24)=1,OR($O24=6,$P24=6,$Q24=6,$R24=6,$S24=6,$T24=6)),INT($V24),"x")</f>
        <v>x</v>
      </c>
      <c r="AP24" s="63">
        <f>IF(AO24="x","",IF(AO24=SMALL($AO$22:$AO$76,1),AO24,""))</f>
      </c>
      <c r="AQ24" s="64"/>
      <c r="AR24" s="32"/>
    </row>
    <row r="25" spans="1:44" ht="15" customHeight="1">
      <c r="A25" s="366"/>
      <c r="B25" s="32"/>
      <c r="C25" s="367"/>
      <c r="D25" s="32"/>
      <c r="H25" s="490"/>
      <c r="I25" s="490"/>
      <c r="J25" s="490"/>
      <c r="K25" s="490"/>
      <c r="L25" s="490"/>
      <c r="M25" s="491">
        <v>4</v>
      </c>
      <c r="N25" s="492"/>
      <c r="O25" s="12">
        <v>2</v>
      </c>
      <c r="P25" s="12">
        <v>1</v>
      </c>
      <c r="Q25" s="12">
        <v>3</v>
      </c>
      <c r="R25" s="12">
        <v>4</v>
      </c>
      <c r="S25" s="468"/>
      <c r="T25" s="469"/>
      <c r="U25" s="61">
        <f>IF(V25="","",IF(COUNT(O25:T25)&lt;&gt;4,"X",""))</f>
      </c>
      <c r="V25" s="480">
        <v>30.72</v>
      </c>
      <c r="W25" s="481"/>
      <c r="X25" s="481"/>
      <c r="Y25" s="61">
        <f>IF($V25="","",IF($R$3&gt;$V25,"X",""))</f>
      </c>
      <c r="Z25" s="12" t="s">
        <v>2992</v>
      </c>
      <c r="AA25" s="11">
        <f>IF(OR(AND(V25="",Z25&lt;&gt;""),AND(V25&lt;&gt;"",Z25=""),AND(V25="w",Z25&lt;&gt;"w"),AND(V25="nt",Z25="w"),RR4!R7="x"),"x","")</f>
      </c>
      <c r="AB25" s="61"/>
      <c r="AC25" s="61"/>
      <c r="AE25" s="62">
        <f>IF(AND(COUNT($V25)=1,OR($O25=1,$P25=1,$Q25=1,$R25=1,$S25=1,$T25=1)),INT($V25),"x")</f>
        <v>30</v>
      </c>
      <c r="AF25" s="63">
        <f>IF(AE25="x","",IF(AE25=SMALL($AE$22:$AE$76,1),AE25,""))</f>
      </c>
      <c r="AG25" s="62">
        <f>IF(AND(COUNT($V25)=1,OR($O25=2,$P25=2,$Q25=2,$R25=2,$S25=2,$T25=2)),INT($V25),"x")</f>
        <v>30</v>
      </c>
      <c r="AH25" s="63">
        <f>IF(AG25="x","",IF(AG25=SMALL($AG$22:$AG$76,1),AG25,""))</f>
      </c>
      <c r="AI25" s="62">
        <f>IF(AND(COUNT($V25)=1,OR($O25=3,$P25=3,$Q25=3,$R25=3,$S25=3,$T25=3)),INT($V25),"x")</f>
        <v>30</v>
      </c>
      <c r="AJ25" s="63">
        <f>IF(AI25="x","",IF(AI25=SMALL($AI$22:$AI$76,1),AI25,""))</f>
      </c>
      <c r="AK25" s="62">
        <f>IF(AND(COUNT($V25)=1,OR($O25=4,$P25=4,$Q25=4,$R25=4,$S25=4,$T25=4)),INT($V25),"x")</f>
        <v>30</v>
      </c>
      <c r="AL25" s="63">
        <f>IF(AK25="x","",IF(AK25=SMALL($AK$22:$AK$76,1),AK25,""))</f>
      </c>
      <c r="AM25" s="62" t="str">
        <f>IF(AND(COUNT($V25)=1,OR($O25=5,$P25=5,$Q25=5,$R25=5,$S25=5,$T25=5)),INT($V25),"x")</f>
        <v>x</v>
      </c>
      <c r="AN25" s="63">
        <f>IF(AM25="x","",IF(AM25=SMALL($AM$22:$AM$76,1),AM25,""))</f>
      </c>
      <c r="AO25" s="62" t="str">
        <f>IF(AND(COUNT($V25)=1,OR($O25=6,$P25=6,$Q25=6,$R25=6,$S25=6,$T25=6)),INT($V25),"x")</f>
        <v>x</v>
      </c>
      <c r="AP25" s="63">
        <f>IF(AO25="x","",IF(AO25=SMALL($AO$22:$AO$76,1),AO25,""))</f>
      </c>
      <c r="AQ25" s="64"/>
      <c r="AR25" s="32"/>
    </row>
    <row r="26" spans="1:44" ht="15" customHeight="1">
      <c r="A26" s="366"/>
      <c r="B26" s="32"/>
      <c r="C26" s="367"/>
      <c r="D26" s="32"/>
      <c r="H26" s="490"/>
      <c r="I26" s="490"/>
      <c r="J26" s="490"/>
      <c r="K26" s="490"/>
      <c r="L26" s="490"/>
      <c r="M26" s="491">
        <v>5</v>
      </c>
      <c r="N26" s="492"/>
      <c r="O26" s="12"/>
      <c r="P26" s="12"/>
      <c r="Q26" s="12"/>
      <c r="R26" s="12"/>
      <c r="S26" s="468"/>
      <c r="T26" s="469"/>
      <c r="U26" s="61">
        <f>IF(V26="","",IF(COUNT(O26:T26)&lt;&gt;4,"X",""))</f>
      </c>
      <c r="V26" s="480"/>
      <c r="W26" s="481"/>
      <c r="X26" s="481"/>
      <c r="Y26" s="61">
        <f>IF($V26="","",IF($R$3&gt;$V26,"X",""))</f>
      </c>
      <c r="Z26" s="12"/>
      <c r="AA26" s="11">
        <f>IF(OR(AND(V26="",Z26&lt;&gt;""),AND(V26&lt;&gt;"",Z26=""),AND(V26="w",Z26&lt;&gt;"w"),AND(V26="nt",Z26="w"),RR4!R8="x"),"x","")</f>
      </c>
      <c r="AB26" s="61"/>
      <c r="AC26" s="61"/>
      <c r="AE26" s="65" t="str">
        <f>IF(AND(COUNT($V26)=1,OR($O26=1,$P26=1,$Q26=1,$R26=1,$S26=1,$T26=1)),INT($V26),"x")</f>
        <v>x</v>
      </c>
      <c r="AF26" s="66">
        <f>IF(AE26="x","",IF(AE26=SMALL($AE$22:$AE$76,1),AE26,""))</f>
      </c>
      <c r="AG26" s="65" t="str">
        <f>IF(AND(COUNT($V26)=1,OR($O26=2,$P26=2,$Q26=2,$R26=2,$S26=2,$T26=2)),INT($V26),"x")</f>
        <v>x</v>
      </c>
      <c r="AH26" s="63">
        <f>IF(AG26="x","",IF(AG26=SMALL($AG$22:$AG$76,1),AG26,""))</f>
      </c>
      <c r="AI26" s="65" t="str">
        <f>IF(AND(COUNT($V26)=1,OR($O26=3,$P26=3,$Q26=3,$R26=3,$S26=3,$T26=3)),INT($V26),"x")</f>
        <v>x</v>
      </c>
      <c r="AJ26" s="63">
        <f>IF(AI26="x","",IF(AI26=SMALL($AI$22:$AI$76,1),AI26,""))</f>
      </c>
      <c r="AK26" s="65" t="str">
        <f>IF(AND(COUNT($V26)=1,OR($O26=4,$P26=4,$Q26=4,$R26=4,$S26=4,$T26=4)),INT($V26),"x")</f>
        <v>x</v>
      </c>
      <c r="AL26" s="63">
        <f>IF(AK26="x","",IF(AK26=SMALL($AK$22:$AK$76,1),AK26,""))</f>
      </c>
      <c r="AM26" s="65" t="str">
        <f>IF(AND(COUNT($V26)=1,OR($O26=5,$P26=5,$Q26=5,$R26=5,$S26=5,$T26=5)),INT($V26),"x")</f>
        <v>x</v>
      </c>
      <c r="AN26" s="63">
        <f>IF(AM26="x","",IF(AM26=SMALL($AM$22:$AM$76,1),AM26,""))</f>
      </c>
      <c r="AO26" s="65" t="str">
        <f>IF(AND(COUNT($V26)=1,OR($O26=6,$P26=6,$Q26=6,$R26=6,$S26=6,$T26=6)),INT($V26),"x")</f>
        <v>x</v>
      </c>
      <c r="AP26" s="63">
        <f>IF(AO26="x","",IF(AO26=SMALL($AO$22:$AO$76,1),AO26,""))</f>
      </c>
      <c r="AQ26" s="64"/>
      <c r="AR26" s="32"/>
    </row>
    <row r="27" spans="1:42" ht="3.75" customHeight="1">
      <c r="A27" s="366"/>
      <c r="B27" s="32"/>
      <c r="C27" s="3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487"/>
      <c r="W27" s="487"/>
      <c r="X27" s="487"/>
      <c r="Y27" s="67"/>
      <c r="Z27" s="76"/>
      <c r="AA27" s="68"/>
      <c r="AB27" s="61"/>
      <c r="AC27" s="61"/>
      <c r="AE27" s="69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4" ht="15" customHeight="1">
      <c r="A28" s="366"/>
      <c r="B28" s="32"/>
      <c r="C28" s="367"/>
      <c r="D28" s="32"/>
      <c r="E28" s="55" t="str">
        <f>VLOOKUP("race",'[1]Strings'!$A$3:$K$102,'[1]Strings'!$A$1,FALSE)</f>
        <v>Rennen</v>
      </c>
      <c r="F28" s="55" t="str">
        <f>VLOOKUP("baan / piste",'[1]Strings'!$A$3:$K$102,'[1]Strings'!$A$1,FALSE)</f>
        <v>Bahn</v>
      </c>
      <c r="G28" s="55"/>
      <c r="H28" s="476" t="str">
        <f>VLOOKUP("tegen / contre",'[1]Strings'!$A$3:$K$102,'[1]Strings'!$A$1,FALSE)</f>
        <v>gegen</v>
      </c>
      <c r="I28" s="476"/>
      <c r="J28" s="476"/>
      <c r="K28" s="476"/>
      <c r="L28" s="477"/>
      <c r="M28" s="477" t="str">
        <f>VLOOKUP("heat",'[1]Strings'!$A$3:$K$102,'[1]Strings'!$A$1,FALSE)</f>
        <v>Lauf</v>
      </c>
      <c r="N28" s="477"/>
      <c r="O28" s="476" t="str">
        <f>VLOOKUP("Honden / chiens",'[1]Strings'!$A$3:$K$102,'[1]Strings'!$A$1,FALSE)</f>
        <v>Hunde</v>
      </c>
      <c r="P28" s="476"/>
      <c r="Q28" s="476"/>
      <c r="R28" s="476"/>
      <c r="S28" s="476"/>
      <c r="T28" s="476"/>
      <c r="U28" s="162" t="str">
        <f>VLOOKUP("          Tijd/temps",'[1]Strings'!$A$3:$K$102,'[1]Strings'!$A$1,FALSE)</f>
        <v>           Zeit</v>
      </c>
      <c r="V28" s="163"/>
      <c r="W28" s="163"/>
      <c r="X28" s="163"/>
      <c r="Y28" s="161" t="str">
        <f>VLOOKUP("    W / L / T",'[1]Strings'!$A$3:$K$102,'[1]Strings'!$A$1,FALSE)</f>
        <v>    W/L/T</v>
      </c>
      <c r="Z28" s="55"/>
      <c r="AA28" s="68"/>
      <c r="AB28" s="61"/>
      <c r="AC28" s="61"/>
      <c r="AD28" s="55"/>
      <c r="AE28" s="70"/>
      <c r="AF28" s="67"/>
      <c r="AG28" s="70"/>
      <c r="AH28" s="67"/>
      <c r="AI28" s="70"/>
      <c r="AJ28" s="67"/>
      <c r="AK28" s="70"/>
      <c r="AL28" s="67"/>
      <c r="AM28" s="70"/>
      <c r="AN28" s="67"/>
      <c r="AO28" s="70"/>
      <c r="AP28" s="67"/>
      <c r="AQ28" s="565"/>
      <c r="AR28" s="478"/>
    </row>
    <row r="29" spans="1:44" ht="15" customHeight="1">
      <c r="A29" s="366"/>
      <c r="B29" s="32"/>
      <c r="C29" s="367"/>
      <c r="D29" s="32"/>
      <c r="E29" s="488">
        <f>RR4!O10</f>
        <v>4</v>
      </c>
      <c r="F29" s="59" t="str">
        <f>IF(RR4!Q10="rood",VLOOKUP("Rood / Rouge",'[1]Strings'!$A$3:$K$102,'[1]Strings'!$A$1,FALSE),"")</f>
        <v>Rot</v>
      </c>
      <c r="H29" s="478" t="str">
        <f>VLOOKUP(E29&amp;$C$3,RR4!$U$5:$AV$33,28,FALSE)</f>
        <v>Cool Racers</v>
      </c>
      <c r="I29" s="478"/>
      <c r="J29" s="478"/>
      <c r="K29" s="478"/>
      <c r="L29" s="479"/>
      <c r="M29" s="491">
        <v>1</v>
      </c>
      <c r="N29" s="492"/>
      <c r="O29" s="12">
        <v>6</v>
      </c>
      <c r="P29" s="12">
        <v>4</v>
      </c>
      <c r="Q29" s="12">
        <v>1</v>
      </c>
      <c r="R29" s="12">
        <v>5</v>
      </c>
      <c r="S29" s="468"/>
      <c r="T29" s="469"/>
      <c r="U29" s="61">
        <f>IF(V29="","",IF(COUNT(O29:T29)&lt;&gt;4,"X",""))</f>
      </c>
      <c r="V29" s="480">
        <v>21.67</v>
      </c>
      <c r="W29" s="481"/>
      <c r="X29" s="481"/>
      <c r="Y29" s="61">
        <f>IF($V29="","",IF($R$3&gt;$V29,"X",""))</f>
      </c>
      <c r="Z29" s="12" t="s">
        <v>2992</v>
      </c>
      <c r="AA29" s="11">
        <f>IF(OR(AND(V29="",Z29&lt;&gt;""),AND(V29&lt;&gt;"",Z29=""),AND(V29="w",Z29&lt;&gt;"w"),AND(V29="nt",Z29="w"),RR4!R11="x"),"x","")</f>
      </c>
      <c r="AB29" s="61"/>
      <c r="AC29" s="61"/>
      <c r="AE29" s="62">
        <f>IF(AND(COUNT($V29)=1,OR($O29=1,$P29=1,$Q29=1,$R29=1,$S29=1,$T29=1)),INT($V29),"x")</f>
        <v>21</v>
      </c>
      <c r="AF29" s="63">
        <f>IF(AE29="x","",IF(AE29=SMALL($AE$22:$AE$76,1),AE29,""))</f>
      </c>
      <c r="AG29" s="62" t="str">
        <f>IF(AND(COUNT($V29)=1,OR($O29=2,$P29=2,$Q29=2,$R29=2,$S29=2,$T29=2)),INT($V29),"x")</f>
        <v>x</v>
      </c>
      <c r="AH29" s="63">
        <f>IF(AG29="x","",IF(AG29=SMALL($AG$22:$AG$76,1),AG29,""))</f>
      </c>
      <c r="AI29" s="62" t="str">
        <f>IF(AND(COUNT($V29)=1,OR($O29=3,$P29=3,$Q29=3,$R29=3,$S29=3,$T29=3)),INT($V29),"x")</f>
        <v>x</v>
      </c>
      <c r="AJ29" s="63">
        <f>IF(AI29="x","",IF(AI29=SMALL($AI$22:$AI$76,1),AI29,""))</f>
      </c>
      <c r="AK29" s="62">
        <f>IF(AND(COUNT($V29)=1,OR($O29=4,$P29=4,$Q29=4,$R29=4,$S29=4,$T29=4)),INT($V29),"x")</f>
        <v>21</v>
      </c>
      <c r="AL29" s="63">
        <f>IF(AK29="x","",IF(AK29=SMALL($AK$22:$AK$76,1),AK29,""))</f>
      </c>
      <c r="AM29" s="62">
        <f>IF(AND(COUNT($V29)=1,OR($O29=5,$P29=5,$Q29=5,$R29=5,$S29=5,$T29=5)),INT($V29),"x")</f>
        <v>21</v>
      </c>
      <c r="AN29" s="63">
        <f>IF(AM29="x","",IF(AM29=SMALL($AM$22:$AM$76,1),AM29,""))</f>
        <v>21</v>
      </c>
      <c r="AO29" s="62">
        <f>IF(AND(COUNT($V29)=1,OR($O29=6,$P29=6,$Q29=6,$R29=6,$S29=6,$T29=6)),INT($V29),"x")</f>
        <v>21</v>
      </c>
      <c r="AP29" s="63">
        <f>IF(AO29="x","",IF(AO29=SMALL($AO$22:$AO$76,1),AO29,""))</f>
        <v>21</v>
      </c>
      <c r="AQ29" s="64"/>
      <c r="AR29" s="32"/>
    </row>
    <row r="30" spans="1:44" ht="15" customHeight="1">
      <c r="A30" s="366"/>
      <c r="B30" s="32"/>
      <c r="C30" s="367"/>
      <c r="D30" s="32"/>
      <c r="E30" s="489"/>
      <c r="F30" s="59">
        <f>IF(RR4!Q10="blauw",VLOOKUP("Blauw / Bleu",'[1]Strings'!$A$3:$K$102,'[1]Strings'!$A$1,FALSE),"")</f>
      </c>
      <c r="H30" s="490">
        <f>IF(OR(U29="x",Y29="x",AA29="x"),"CONTROLEER INVOER       HEAT 1",IF(OR(U30="x",Y30="x",AA30="x"),"CONTROLEER INVOER       HEAT 2",IF(OR(U31="x",Y31="x",AA31="x"),"CONTROLEER INVOER       HEAT 3",IF(OR(U32="x",Y32="x",AA32="x"),"CONTROLEER INVOER       HEAT 4",IF(OR(U33="x",Y33="x",AA33="x"),"CONTROLEER INVOER       HEAT 5","")))))</f>
      </c>
      <c r="I30" s="490"/>
      <c r="J30" s="490"/>
      <c r="K30" s="490"/>
      <c r="L30" s="490"/>
      <c r="M30" s="491">
        <v>2</v>
      </c>
      <c r="N30" s="492"/>
      <c r="O30" s="12">
        <v>6</v>
      </c>
      <c r="P30" s="12">
        <v>4</v>
      </c>
      <c r="Q30" s="12">
        <v>1</v>
      </c>
      <c r="R30" s="12">
        <v>5</v>
      </c>
      <c r="S30" s="468"/>
      <c r="T30" s="469"/>
      <c r="U30" s="61">
        <f>IF(V30="","",IF(COUNT(O30:T30)&lt;&gt;4,"X",""))</f>
      </c>
      <c r="V30" s="480">
        <v>99.99</v>
      </c>
      <c r="W30" s="481"/>
      <c r="X30" s="481"/>
      <c r="Y30" s="61">
        <f>IF($V30="","",IF($R$3&gt;$V30,"X",""))</f>
      </c>
      <c r="Z30" s="12" t="s">
        <v>2992</v>
      </c>
      <c r="AA30" s="11">
        <f>IF(OR(AND(V30="",Z30&lt;&gt;""),AND(V30&lt;&gt;"",Z30=""),AND(V30="w",Z30&lt;&gt;"w"),AND(V30="nt",Z30="w"),RR4!R12="x"),"x","")</f>
      </c>
      <c r="AB30" s="61"/>
      <c r="AC30" s="61"/>
      <c r="AE30" s="62">
        <f>IF(AND(COUNT($V30)=1,OR($O30=1,$P30=1,$Q30=1,$R30=1,$S30=1,$T30=1)),INT($V30),"x")</f>
        <v>99</v>
      </c>
      <c r="AF30" s="63">
        <f>IF(AE30="x","",IF(AE30=SMALL($AE$22:$AE$76,1),AE30,""))</f>
      </c>
      <c r="AG30" s="62" t="str">
        <f>IF(AND(COUNT($V30)=1,OR($O30=2,$P30=2,$Q30=2,$R30=2,$S30=2,$T30=2)),INT($V30),"x")</f>
        <v>x</v>
      </c>
      <c r="AH30" s="63">
        <f>IF(AG30="x","",IF(AG30=SMALL($AG$22:$AG$76,1),AG30,""))</f>
      </c>
      <c r="AI30" s="62" t="str">
        <f>IF(AND(COUNT($V30)=1,OR($O30=3,$P30=3,$Q30=3,$R30=3,$S30=3,$T30=3)),INT($V30),"x")</f>
        <v>x</v>
      </c>
      <c r="AJ30" s="63">
        <f>IF(AI30="x","",IF(AI30=SMALL($AI$22:$AI$76,1),AI30,""))</f>
      </c>
      <c r="AK30" s="62">
        <f>IF(AND(COUNT($V30)=1,OR($O30=4,$P30=4,$Q30=4,$R30=4,$S30=4,$T30=4)),INT($V30),"x")</f>
        <v>99</v>
      </c>
      <c r="AL30" s="63">
        <f>IF(AK30="x","",IF(AK30=SMALL($AK$22:$AK$76,1),AK30,""))</f>
      </c>
      <c r="AM30" s="62">
        <f>IF(AND(COUNT($V30)=1,OR($O30=5,$P30=5,$Q30=5,$R30=5,$S30=5,$T30=5)),INT($V30),"x")</f>
        <v>99</v>
      </c>
      <c r="AN30" s="63">
        <f>IF(AM30="x","",IF(AM30=SMALL($AM$22:$AM$76,1),AM30,""))</f>
      </c>
      <c r="AO30" s="62">
        <f>IF(AND(COUNT($V30)=1,OR($O30=6,$P30=6,$Q30=6,$R30=6,$S30=6,$T30=6)),INT($V30),"x")</f>
        <v>99</v>
      </c>
      <c r="AP30" s="63">
        <f>IF(AO30="x","",IF(AO30=SMALL($AO$22:$AO$76,1),AO30,""))</f>
      </c>
      <c r="AQ30" s="64"/>
      <c r="AR30" s="32"/>
    </row>
    <row r="31" spans="1:44" ht="15" customHeight="1">
      <c r="A31" s="366"/>
      <c r="B31" s="32"/>
      <c r="C31" s="367"/>
      <c r="D31" s="32"/>
      <c r="E31" s="2" t="str">
        <f>uitslagen!$B$2</f>
        <v>RR</v>
      </c>
      <c r="H31" s="490"/>
      <c r="I31" s="490"/>
      <c r="J31" s="490"/>
      <c r="K31" s="490"/>
      <c r="L31" s="490"/>
      <c r="M31" s="491">
        <v>3</v>
      </c>
      <c r="N31" s="492"/>
      <c r="O31" s="12">
        <v>6</v>
      </c>
      <c r="P31" s="12">
        <v>4</v>
      </c>
      <c r="Q31" s="12">
        <v>1</v>
      </c>
      <c r="R31" s="12">
        <v>5</v>
      </c>
      <c r="S31" s="468"/>
      <c r="T31" s="469"/>
      <c r="U31" s="61">
        <f>IF(V31="","",IF(COUNT(O31:T31)&lt;&gt;4,"X",""))</f>
      </c>
      <c r="V31" s="480" t="s">
        <v>2993</v>
      </c>
      <c r="W31" s="481"/>
      <c r="X31" s="481"/>
      <c r="Y31" s="61">
        <f>IF($V31="","",IF($R$3&gt;$V31,"X",""))</f>
      </c>
      <c r="Z31" s="12" t="s">
        <v>2995</v>
      </c>
      <c r="AA31" s="11">
        <f>IF(OR(AND(V31="",Z31&lt;&gt;""),AND(V31&lt;&gt;"",Z31=""),AND(V31="w",Z31&lt;&gt;"w"),AND(V31="nt",Z31="w"),RR4!R13="x"),"x","")</f>
      </c>
      <c r="AB31" s="61"/>
      <c r="AC31" s="61"/>
      <c r="AE31" s="62" t="str">
        <f>IF(AND(COUNT($V31)=1,OR($O31=1,$P31=1,$Q31=1,$R31=1,$S31=1,$T31=1)),INT($V31),"x")</f>
        <v>x</v>
      </c>
      <c r="AF31" s="63">
        <f>IF(AE31="x","",IF(AE31=SMALL($AE$22:$AE$76,1),AE31,""))</f>
      </c>
      <c r="AG31" s="62" t="str">
        <f>IF(AND(COUNT($V31)=1,OR($O31=2,$P31=2,$Q31=2,$R31=2,$S31=2,$T31=2)),INT($V31),"x")</f>
        <v>x</v>
      </c>
      <c r="AH31" s="63">
        <f>IF(AG31="x","",IF(AG31=SMALL($AG$22:$AG$76,1),AG31,""))</f>
      </c>
      <c r="AI31" s="62" t="str">
        <f>IF(AND(COUNT($V31)=1,OR($O31=3,$P31=3,$Q31=3,$R31=3,$S31=3,$T31=3)),INT($V31),"x")</f>
        <v>x</v>
      </c>
      <c r="AJ31" s="63">
        <f>IF(AI31="x","",IF(AI31=SMALL($AI$22:$AI$76,1),AI31,""))</f>
      </c>
      <c r="AK31" s="62" t="str">
        <f>IF(AND(COUNT($V31)=1,OR($O31=4,$P31=4,$Q31=4,$R31=4,$S31=4,$T31=4)),INT($V31),"x")</f>
        <v>x</v>
      </c>
      <c r="AL31" s="63">
        <f>IF(AK31="x","",IF(AK31=SMALL($AK$22:$AK$76,1),AK31,""))</f>
      </c>
      <c r="AM31" s="62" t="str">
        <f>IF(AND(COUNT($V31)=1,OR($O31=5,$P31=5,$Q31=5,$R31=5,$S31=5,$T31=5)),INT($V31),"x")</f>
        <v>x</v>
      </c>
      <c r="AN31" s="63">
        <f>IF(AM31="x","",IF(AM31=SMALL($AM$22:$AM$76,1),AM31,""))</f>
      </c>
      <c r="AO31" s="62" t="str">
        <f>IF(AND(COUNT($V31)=1,OR($O31=6,$P31=6,$Q31=6,$R31=6,$S31=6,$T31=6)),INT($V31),"x")</f>
        <v>x</v>
      </c>
      <c r="AP31" s="63">
        <f>IF(AO31="x","",IF(AO31=SMALL($AO$22:$AO$76,1),AO31,""))</f>
      </c>
      <c r="AQ31" s="64"/>
      <c r="AR31" s="32"/>
    </row>
    <row r="32" spans="1:44" ht="15" customHeight="1">
      <c r="A32" s="366"/>
      <c r="B32" s="32"/>
      <c r="C32" s="367"/>
      <c r="D32" s="32"/>
      <c r="H32" s="490"/>
      <c r="I32" s="490"/>
      <c r="J32" s="490"/>
      <c r="K32" s="490"/>
      <c r="L32" s="490"/>
      <c r="M32" s="491">
        <v>4</v>
      </c>
      <c r="N32" s="492"/>
      <c r="O32" s="12">
        <v>6</v>
      </c>
      <c r="P32" s="12">
        <v>4</v>
      </c>
      <c r="Q32" s="12">
        <v>1</v>
      </c>
      <c r="R32" s="12">
        <v>5</v>
      </c>
      <c r="S32" s="468"/>
      <c r="T32" s="469"/>
      <c r="U32" s="61">
        <f>IF(V32="","",IF(COUNT(O32:T32)&lt;&gt;4,"X",""))</f>
      </c>
      <c r="V32" s="480">
        <v>25</v>
      </c>
      <c r="W32" s="481"/>
      <c r="X32" s="481"/>
      <c r="Y32" s="61">
        <f>IF($V32="","",IF($R$3&gt;$V32,"X",""))</f>
      </c>
      <c r="Z32" s="12" t="s">
        <v>2992</v>
      </c>
      <c r="AA32" s="11">
        <f>IF(OR(AND(V32="",Z32&lt;&gt;""),AND(V32&lt;&gt;"",Z32=""),AND(V32="w",Z32&lt;&gt;"w"),AND(V32="nt",Z32="w"),RR4!R14="x"),"x","")</f>
      </c>
      <c r="AB32" s="61"/>
      <c r="AC32" s="61"/>
      <c r="AE32" s="62">
        <f>IF(AND(COUNT($V32)=1,OR($O32=1,$P32=1,$Q32=1,$R32=1,$S32=1,$T32=1)),INT($V32),"x")</f>
        <v>25</v>
      </c>
      <c r="AF32" s="63">
        <f>IF(AE32="x","",IF(AE32=SMALL($AE$22:$AE$76,1),AE32,""))</f>
      </c>
      <c r="AG32" s="62" t="str">
        <f>IF(AND(COUNT($V32)=1,OR($O32=2,$P32=2,$Q32=2,$R32=2,$S32=2,$T32=2)),INT($V32),"x")</f>
        <v>x</v>
      </c>
      <c r="AH32" s="63">
        <f>IF(AG32="x","",IF(AG32=SMALL($AG$22:$AG$76,1),AG32,""))</f>
      </c>
      <c r="AI32" s="62" t="str">
        <f>IF(AND(COUNT($V32)=1,OR($O32=3,$P32=3,$Q32=3,$R32=3,$S32=3,$T32=3)),INT($V32),"x")</f>
        <v>x</v>
      </c>
      <c r="AJ32" s="63">
        <f>IF(AI32="x","",IF(AI32=SMALL($AI$22:$AI$76,1),AI32,""))</f>
      </c>
      <c r="AK32" s="62">
        <f>IF(AND(COUNT($V32)=1,OR($O32=4,$P32=4,$Q32=4,$R32=4,$S32=4,$T32=4)),INT($V32),"x")</f>
        <v>25</v>
      </c>
      <c r="AL32" s="63">
        <f>IF(AK32="x","",IF(AK32=SMALL($AK$22:$AK$76,1),AK32,""))</f>
      </c>
      <c r="AM32" s="62">
        <f>IF(AND(COUNT($V32)=1,OR($O32=5,$P32=5,$Q32=5,$R32=5,$S32=5,$T32=5)),INT($V32),"x")</f>
        <v>25</v>
      </c>
      <c r="AN32" s="63">
        <f>IF(AM32="x","",IF(AM32=SMALL($AM$22:$AM$76,1),AM32,""))</f>
      </c>
      <c r="AO32" s="62">
        <f>IF(AND(COUNT($V32)=1,OR($O32=6,$P32=6,$Q32=6,$R32=6,$S32=6,$T32=6)),INT($V32),"x")</f>
        <v>25</v>
      </c>
      <c r="AP32" s="63">
        <f>IF(AO32="x","",IF(AO32=SMALL($AO$22:$AO$76,1),AO32,""))</f>
      </c>
      <c r="AQ32" s="64"/>
      <c r="AR32" s="32"/>
    </row>
    <row r="33" spans="1:44" ht="15" customHeight="1">
      <c r="A33" s="366"/>
      <c r="B33" s="32"/>
      <c r="C33" s="367"/>
      <c r="D33" s="32"/>
      <c r="H33" s="490"/>
      <c r="I33" s="490"/>
      <c r="J33" s="490"/>
      <c r="K33" s="490"/>
      <c r="L33" s="490"/>
      <c r="M33" s="491">
        <v>5</v>
      </c>
      <c r="N33" s="492"/>
      <c r="O33" s="12"/>
      <c r="P33" s="12"/>
      <c r="Q33" s="12"/>
      <c r="R33" s="12"/>
      <c r="S33" s="468"/>
      <c r="T33" s="469"/>
      <c r="U33" s="61">
        <f>IF(V33="","",IF(COUNT(O33:T33)&lt;&gt;4,"X",""))</f>
      </c>
      <c r="V33" s="480"/>
      <c r="W33" s="481"/>
      <c r="X33" s="481"/>
      <c r="Y33" s="61">
        <f>IF($V33="","",IF($R$3&gt;$V33,"X",""))</f>
      </c>
      <c r="Z33" s="12"/>
      <c r="AA33" s="11">
        <f>IF(OR(AND(V33="",Z33&lt;&gt;""),AND(V33&lt;&gt;"",Z33=""),AND(V33="w",Z33&lt;&gt;"w"),AND(V33="nt",Z33="w"),RR4!R15="x"),"x","")</f>
      </c>
      <c r="AB33" s="61"/>
      <c r="AC33" s="61"/>
      <c r="AE33" s="65" t="str">
        <f>IF(AND(COUNT($V33)=1,OR($O33=1,$P33=1,$Q33=1,$R33=1,$S33=1,$T33=1)),INT($V33),"x")</f>
        <v>x</v>
      </c>
      <c r="AF33" s="66">
        <f>IF(AE33="x","",IF(AE33=SMALL($AE$22:$AE$76,1),AE33,""))</f>
      </c>
      <c r="AG33" s="65" t="str">
        <f>IF(AND(COUNT($V33)=1,OR($O33=2,$P33=2,$Q33=2,$R33=2,$S33=2,$T33=2)),INT($V33),"x")</f>
        <v>x</v>
      </c>
      <c r="AH33" s="63">
        <f>IF(AG33="x","",IF(AG33=SMALL($AG$22:$AG$76,1),AG33,""))</f>
      </c>
      <c r="AI33" s="65" t="str">
        <f>IF(AND(COUNT($V33)=1,OR($O33=3,$P33=3,$Q33=3,$R33=3,$S33=3,$T33=3)),INT($V33),"x")</f>
        <v>x</v>
      </c>
      <c r="AJ33" s="63">
        <f>IF(AI33="x","",IF(AI33=SMALL($AI$22:$AI$76,1),AI33,""))</f>
      </c>
      <c r="AK33" s="65" t="str">
        <f>IF(AND(COUNT($V33)=1,OR($O33=4,$P33=4,$Q33=4,$R33=4,$S33=4,$T33=4)),INT($V33),"x")</f>
        <v>x</v>
      </c>
      <c r="AL33" s="63">
        <f>IF(AK33="x","",IF(AK33=SMALL($AK$22:$AK$76,1),AK33,""))</f>
      </c>
      <c r="AM33" s="65" t="str">
        <f>IF(AND(COUNT($V33)=1,OR($O33=5,$P33=5,$Q33=5,$R33=5,$S33=5,$T33=5)),INT($V33),"x")</f>
        <v>x</v>
      </c>
      <c r="AN33" s="63">
        <f>IF(AM33="x","",IF(AM33=SMALL($AM$22:$AM$76,1),AM33,""))</f>
      </c>
      <c r="AO33" s="65" t="str">
        <f>IF(AND(COUNT($V33)=1,OR($O33=6,$P33=6,$Q33=6,$R33=6,$S33=6,$T33=6)),INT($V33),"x")</f>
        <v>x</v>
      </c>
      <c r="AP33" s="63">
        <f>IF(AO33="x","",IF(AO33=SMALL($AO$22:$AO$76,1),AO33,""))</f>
      </c>
      <c r="AQ33" s="64"/>
      <c r="AR33" s="32"/>
    </row>
    <row r="34" spans="1:42" ht="3.75" customHeight="1">
      <c r="A34" s="366"/>
      <c r="B34" s="32"/>
      <c r="C34" s="3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487"/>
      <c r="W34" s="487"/>
      <c r="X34" s="487"/>
      <c r="Y34" s="67"/>
      <c r="Z34" s="76"/>
      <c r="AA34" s="68"/>
      <c r="AB34" s="61"/>
      <c r="AC34" s="61"/>
      <c r="AE34" s="69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4" ht="15" customHeight="1">
      <c r="A35" s="366"/>
      <c r="B35" s="32"/>
      <c r="C35" s="367"/>
      <c r="D35" s="32"/>
      <c r="E35" s="55" t="str">
        <f>VLOOKUP("race",'[1]Strings'!$A$3:$K$102,'[1]Strings'!$A$1,FALSE)</f>
        <v>Rennen</v>
      </c>
      <c r="F35" s="55" t="str">
        <f>VLOOKUP("baan / piste",'[1]Strings'!$A$3:$K$102,'[1]Strings'!$A$1,FALSE)</f>
        <v>Bahn</v>
      </c>
      <c r="G35" s="55"/>
      <c r="H35" s="476" t="str">
        <f>VLOOKUP("tegen / contre",'[1]Strings'!$A$3:$K$102,'[1]Strings'!$A$1,FALSE)</f>
        <v>gegen</v>
      </c>
      <c r="I35" s="476"/>
      <c r="J35" s="476"/>
      <c r="K35" s="476"/>
      <c r="L35" s="477"/>
      <c r="M35" s="477" t="str">
        <f>VLOOKUP("heat",'[1]Strings'!$A$3:$K$102,'[1]Strings'!$A$1,FALSE)</f>
        <v>Lauf</v>
      </c>
      <c r="N35" s="477"/>
      <c r="O35" s="476" t="str">
        <f>VLOOKUP("Honden / chiens",'[1]Strings'!$A$3:$K$102,'[1]Strings'!$A$1,FALSE)</f>
        <v>Hunde</v>
      </c>
      <c r="P35" s="476"/>
      <c r="Q35" s="476"/>
      <c r="R35" s="476"/>
      <c r="S35" s="476"/>
      <c r="T35" s="476"/>
      <c r="U35" s="162" t="str">
        <f>VLOOKUP("          Tijd/temps",'[1]Strings'!$A$3:$K$102,'[1]Strings'!$A$1,FALSE)</f>
        <v>           Zeit</v>
      </c>
      <c r="V35" s="163"/>
      <c r="W35" s="163"/>
      <c r="X35" s="163"/>
      <c r="Y35" s="161" t="str">
        <f>VLOOKUP("    W / L / T",'[1]Strings'!$A$3:$K$102,'[1]Strings'!$A$1,FALSE)</f>
        <v>    W/L/T</v>
      </c>
      <c r="Z35" s="55"/>
      <c r="AA35" s="68"/>
      <c r="AB35" s="61"/>
      <c r="AC35" s="61"/>
      <c r="AD35" s="55"/>
      <c r="AE35" s="70"/>
      <c r="AF35" s="67"/>
      <c r="AG35" s="70"/>
      <c r="AH35" s="67"/>
      <c r="AI35" s="70"/>
      <c r="AJ35" s="67"/>
      <c r="AK35" s="70"/>
      <c r="AL35" s="67"/>
      <c r="AM35" s="70"/>
      <c r="AN35" s="67"/>
      <c r="AO35" s="70"/>
      <c r="AP35" s="67"/>
      <c r="AQ35" s="565"/>
      <c r="AR35" s="478"/>
    </row>
    <row r="36" spans="1:44" ht="15" customHeight="1">
      <c r="A36" s="366"/>
      <c r="B36" s="32"/>
      <c r="C36" s="367"/>
      <c r="D36" s="32"/>
      <c r="E36" s="488">
        <f>RR4!O17</f>
        <v>5</v>
      </c>
      <c r="F36" s="59">
        <f>IF(RR4!Q17="rood",VLOOKUP("Rood / Rouge",'[1]Strings'!$A$3:$K$102,'[1]Strings'!$A$1,FALSE),"")</f>
      </c>
      <c r="H36" s="478" t="str">
        <f>VLOOKUP(E36&amp;$C$3,RR4!$U$5:$AV$33,28,FALSE)</f>
        <v>Flying Stars</v>
      </c>
      <c r="I36" s="478"/>
      <c r="J36" s="478"/>
      <c r="K36" s="478"/>
      <c r="L36" s="479"/>
      <c r="M36" s="491">
        <v>1</v>
      </c>
      <c r="N36" s="492"/>
      <c r="O36" s="12">
        <v>5</v>
      </c>
      <c r="P36" s="12">
        <v>4</v>
      </c>
      <c r="Q36" s="12">
        <v>1</v>
      </c>
      <c r="R36" s="12">
        <v>6</v>
      </c>
      <c r="S36" s="468"/>
      <c r="T36" s="469"/>
      <c r="U36" s="61">
        <f>IF(V36="","",IF(COUNT(O36:T36)&lt;&gt;4,"X",""))</f>
      </c>
      <c r="V36" s="480">
        <v>30.22</v>
      </c>
      <c r="W36" s="481"/>
      <c r="X36" s="481"/>
      <c r="Y36" s="61">
        <f>IF($V36="","",IF($R$3&gt;$V36,"X",""))</f>
      </c>
      <c r="Z36" s="12" t="s">
        <v>2992</v>
      </c>
      <c r="AA36" s="11">
        <f>IF(OR(AND(V36="",Z36&lt;&gt;""),AND(V36&lt;&gt;"",Z36=""),AND(V36="w",Z36&lt;&gt;"w"),AND(V36="nt",Z36="w"),RR4!R18="x"),"x","")</f>
      </c>
      <c r="AB36" s="61"/>
      <c r="AC36" s="61"/>
      <c r="AE36" s="62">
        <f>IF(AND(COUNT($V36)=1,OR($O36=1,$P36=1,$Q36=1,$R36=1,$S36=1,$T36=1)),INT($V36),"x")</f>
        <v>30</v>
      </c>
      <c r="AF36" s="63">
        <f>IF(AE36="x","",IF(AE36=SMALL($AE$22:$AE$76,1),AE36,""))</f>
      </c>
      <c r="AG36" s="62" t="str">
        <f>IF(AND(COUNT($V36)=1,OR($O36=2,$P36=2,$Q36=2,$R36=2,$S36=2,$T36=2)),INT($V36),"x")</f>
        <v>x</v>
      </c>
      <c r="AH36" s="63">
        <f>IF(AG36="x","",IF(AG36=SMALL($AG$22:$AG$76,1),AG36,""))</f>
      </c>
      <c r="AI36" s="62" t="str">
        <f>IF(AND(COUNT($V36)=1,OR($O36=3,$P36=3,$Q36=3,$R36=3,$S36=3,$T36=3)),INT($V36),"x")</f>
        <v>x</v>
      </c>
      <c r="AJ36" s="63">
        <f>IF(AI36="x","",IF(AI36=SMALL($AI$22:$AI$76,1),AI36,""))</f>
      </c>
      <c r="AK36" s="62">
        <f>IF(AND(COUNT($V36)=1,OR($O36=4,$P36=4,$Q36=4,$R36=4,$S36=4,$T36=4)),INT($V36),"x")</f>
        <v>30</v>
      </c>
      <c r="AL36" s="63">
        <f>IF(AK36="x","",IF(AK36=SMALL($AK$22:$AK$76,1),AK36,""))</f>
      </c>
      <c r="AM36" s="62">
        <f>IF(AND(COUNT($V36)=1,OR($O36=5,$P36=5,$Q36=5,$R36=5,$S36=5,$T36=5)),INT($V36),"x")</f>
        <v>30</v>
      </c>
      <c r="AN36" s="63">
        <f>IF(AM36="x","",IF(AM36=SMALL($AM$22:$AM$76,1),AM36,""))</f>
      </c>
      <c r="AO36" s="62">
        <f>IF(AND(COUNT($V36)=1,OR($O36=6,$P36=6,$Q36=6,$R36=6,$S36=6,$T36=6)),INT($V36),"x")</f>
        <v>30</v>
      </c>
      <c r="AP36" s="63">
        <f>IF(AO36="x","",IF(AO36=SMALL($AO$22:$AO$76,1),AO36,""))</f>
      </c>
      <c r="AQ36" s="64"/>
      <c r="AR36" s="32"/>
    </row>
    <row r="37" spans="1:44" ht="15" customHeight="1">
      <c r="A37" s="366"/>
      <c r="B37" s="32"/>
      <c r="C37" s="367"/>
      <c r="D37" s="32"/>
      <c r="E37" s="489"/>
      <c r="F37" s="59" t="str">
        <f>IF(RR4!Q17="blauw",VLOOKUP("Blauw / Bleu",'[1]Strings'!$A$3:$K$102,'[1]Strings'!$A$1,FALSE),"")</f>
        <v>Blau</v>
      </c>
      <c r="H37" s="490">
        <f>IF(OR(U36="x",Y36="x",AA36="x"),"CONTROLEER INVOER       HEAT 1",IF(OR(U37="x",Y37="x",AA37="x"),"CONTROLEER INVOER       HEAT 2",IF(OR(U38="x",Y38="x",AA38="x"),"CONTROLEER INVOER       HEAT 3",IF(OR(U39="x",Y39="x",AA39="x"),"CONTROLEER INVOER       HEAT 4",IF(OR(U40="x",Y40="x",AA40="x"),"CONTROLEER INVOER       HEAT 5","")))))</f>
      </c>
      <c r="I37" s="490"/>
      <c r="J37" s="490"/>
      <c r="K37" s="490"/>
      <c r="L37" s="490"/>
      <c r="M37" s="491">
        <v>2</v>
      </c>
      <c r="N37" s="492"/>
      <c r="O37" s="12">
        <v>5</v>
      </c>
      <c r="P37" s="12">
        <v>4</v>
      </c>
      <c r="Q37" s="12">
        <v>1</v>
      </c>
      <c r="R37" s="12">
        <v>6</v>
      </c>
      <c r="S37" s="468"/>
      <c r="T37" s="469"/>
      <c r="U37" s="61">
        <f>IF(V37="","",IF(COUNT(O37:T37)&lt;&gt;4,"X",""))</f>
      </c>
      <c r="V37" s="480">
        <v>39.46</v>
      </c>
      <c r="W37" s="481"/>
      <c r="X37" s="481"/>
      <c r="Y37" s="61">
        <f>IF($V37="","",IF($R$3&gt;$V37,"X",""))</f>
      </c>
      <c r="Z37" s="12" t="s">
        <v>2994</v>
      </c>
      <c r="AA37" s="11">
        <f>IF(OR(AND(V37="",Z37&lt;&gt;""),AND(V37&lt;&gt;"",Z37=""),AND(V37="w",Z37&lt;&gt;"w"),AND(V37="nt",Z37="w"),RR4!R19="x"),"x","")</f>
      </c>
      <c r="AB37" s="61"/>
      <c r="AC37" s="61"/>
      <c r="AE37" s="62">
        <f>IF(AND(COUNT($V37)=1,OR($O37=1,$P37=1,$Q37=1,$R37=1,$S37=1,$T37=1)),INT($V37),"x")</f>
        <v>39</v>
      </c>
      <c r="AF37" s="63">
        <f>IF(AE37="x","",IF(AE37=SMALL($AE$22:$AE$76,1),AE37,""))</f>
      </c>
      <c r="AG37" s="62" t="str">
        <f>IF(AND(COUNT($V37)=1,OR($O37=2,$P37=2,$Q37=2,$R37=2,$S37=2,$T37=2)),INT($V37),"x")</f>
        <v>x</v>
      </c>
      <c r="AH37" s="63">
        <f>IF(AG37="x","",IF(AG37=SMALL($AG$22:$AG$76,1),AG37,""))</f>
      </c>
      <c r="AI37" s="62" t="str">
        <f>IF(AND(COUNT($V37)=1,OR($O37=3,$P37=3,$Q37=3,$R37=3,$S37=3,$T37=3)),INT($V37),"x")</f>
        <v>x</v>
      </c>
      <c r="AJ37" s="63">
        <f>IF(AI37="x","",IF(AI37=SMALL($AI$22:$AI$76,1),AI37,""))</f>
      </c>
      <c r="AK37" s="62">
        <f>IF(AND(COUNT($V37)=1,OR($O37=4,$P37=4,$Q37=4,$R37=4,$S37=4,$T37=4)),INT($V37),"x")</f>
        <v>39</v>
      </c>
      <c r="AL37" s="63">
        <f>IF(AK37="x","",IF(AK37=SMALL($AK$22:$AK$76,1),AK37,""))</f>
      </c>
      <c r="AM37" s="62">
        <f>IF(AND(COUNT($V37)=1,OR($O37=5,$P37=5,$Q37=5,$R37=5,$S37=5,$T37=5)),INT($V37),"x")</f>
        <v>39</v>
      </c>
      <c r="AN37" s="63">
        <f>IF(AM37="x","",IF(AM37=SMALL($AM$22:$AM$76,1),AM37,""))</f>
      </c>
      <c r="AO37" s="62">
        <f>IF(AND(COUNT($V37)=1,OR($O37=6,$P37=6,$Q37=6,$R37=6,$S37=6,$T37=6)),INT($V37),"x")</f>
        <v>39</v>
      </c>
      <c r="AP37" s="63">
        <f>IF(AO37="x","",IF(AO37=SMALL($AO$22:$AO$76,1),AO37,""))</f>
      </c>
      <c r="AQ37" s="64"/>
      <c r="AR37" s="32"/>
    </row>
    <row r="38" spans="1:44" ht="15" customHeight="1">
      <c r="A38" s="366"/>
      <c r="B38" s="32"/>
      <c r="C38" s="367"/>
      <c r="D38" s="32"/>
      <c r="E38" s="2" t="str">
        <f>uitslagen!$B$2</f>
        <v>RR</v>
      </c>
      <c r="H38" s="490"/>
      <c r="I38" s="490"/>
      <c r="J38" s="490"/>
      <c r="K38" s="490"/>
      <c r="L38" s="490"/>
      <c r="M38" s="491">
        <v>3</v>
      </c>
      <c r="N38" s="492"/>
      <c r="O38" s="12">
        <v>5</v>
      </c>
      <c r="P38" s="12">
        <v>4</v>
      </c>
      <c r="Q38" s="12">
        <v>1</v>
      </c>
      <c r="R38" s="12">
        <v>6</v>
      </c>
      <c r="S38" s="468"/>
      <c r="T38" s="469"/>
      <c r="U38" s="61">
        <f>IF(V38="","",IF(COUNT(O38:T38)&lt;&gt;4,"X",""))</f>
      </c>
      <c r="V38" s="480">
        <v>33.87</v>
      </c>
      <c r="W38" s="481"/>
      <c r="X38" s="481"/>
      <c r="Y38" s="61">
        <f>IF($V38="","",IF($R$3&gt;$V38,"X",""))</f>
      </c>
      <c r="Z38" s="12" t="s">
        <v>2994</v>
      </c>
      <c r="AA38" s="11">
        <f>IF(OR(AND(V38="",Z38&lt;&gt;""),AND(V38&lt;&gt;"",Z38=""),AND(V38="w",Z38&lt;&gt;"w"),AND(V38="nt",Z38="w"),RR4!R20="x"),"x","")</f>
      </c>
      <c r="AB38" s="61"/>
      <c r="AC38" s="61"/>
      <c r="AE38" s="62">
        <f>IF(AND(COUNT($V38)=1,OR($O38=1,$P38=1,$Q38=1,$R38=1,$S38=1,$T38=1)),INT($V38),"x")</f>
        <v>33</v>
      </c>
      <c r="AF38" s="63">
        <f>IF(AE38="x","",IF(AE38=SMALL($AE$22:$AE$76,1),AE38,""))</f>
      </c>
      <c r="AG38" s="62" t="str">
        <f>IF(AND(COUNT($V38)=1,OR($O38=2,$P38=2,$Q38=2,$R38=2,$S38=2,$T38=2)),INT($V38),"x")</f>
        <v>x</v>
      </c>
      <c r="AH38" s="63">
        <f>IF(AG38="x","",IF(AG38=SMALL($AG$22:$AG$76,1),AG38,""))</f>
      </c>
      <c r="AI38" s="62" t="str">
        <f>IF(AND(COUNT($V38)=1,OR($O38=3,$P38=3,$Q38=3,$R38=3,$S38=3,$T38=3)),INT($V38),"x")</f>
        <v>x</v>
      </c>
      <c r="AJ38" s="63">
        <f>IF(AI38="x","",IF(AI38=SMALL($AI$22:$AI$76,1),AI38,""))</f>
      </c>
      <c r="AK38" s="62">
        <f>IF(AND(COUNT($V38)=1,OR($O38=4,$P38=4,$Q38=4,$R38=4,$S38=4,$T38=4)),INT($V38),"x")</f>
        <v>33</v>
      </c>
      <c r="AL38" s="63">
        <f>IF(AK38="x","",IF(AK38=SMALL($AK$22:$AK$76,1),AK38,""))</f>
      </c>
      <c r="AM38" s="62">
        <f>IF(AND(COUNT($V38)=1,OR($O38=5,$P38=5,$Q38=5,$R38=5,$S38=5,$T38=5)),INT($V38),"x")</f>
        <v>33</v>
      </c>
      <c r="AN38" s="63">
        <f>IF(AM38="x","",IF(AM38=SMALL($AM$22:$AM$76,1),AM38,""))</f>
      </c>
      <c r="AO38" s="62">
        <f>IF(AND(COUNT($V38)=1,OR($O38=6,$P38=6,$Q38=6,$R38=6,$S38=6,$T38=6)),INT($V38),"x")</f>
        <v>33</v>
      </c>
      <c r="AP38" s="63">
        <f>IF(AO38="x","",IF(AO38=SMALL($AO$22:$AO$76,1),AO38,""))</f>
      </c>
      <c r="AQ38" s="64"/>
      <c r="AR38" s="32"/>
    </row>
    <row r="39" spans="1:44" ht="15" customHeight="1">
      <c r="A39" s="366"/>
      <c r="B39" s="32"/>
      <c r="C39" s="367"/>
      <c r="D39" s="32"/>
      <c r="H39" s="490"/>
      <c r="I39" s="490"/>
      <c r="J39" s="490"/>
      <c r="K39" s="490"/>
      <c r="L39" s="490"/>
      <c r="M39" s="491">
        <v>4</v>
      </c>
      <c r="N39" s="492"/>
      <c r="O39" s="12">
        <v>5</v>
      </c>
      <c r="P39" s="12">
        <v>4</v>
      </c>
      <c r="Q39" s="12">
        <v>1</v>
      </c>
      <c r="R39" s="12">
        <v>6</v>
      </c>
      <c r="S39" s="468"/>
      <c r="T39" s="469"/>
      <c r="U39" s="61">
        <f>IF(V39="","",IF(COUNT(O39:T39)&lt;&gt;4,"X",""))</f>
      </c>
      <c r="V39" s="480">
        <v>27.15</v>
      </c>
      <c r="W39" s="481"/>
      <c r="X39" s="481"/>
      <c r="Y39" s="61">
        <f>IF($V39="","",IF($R$3&gt;$V39,"X",""))</f>
      </c>
      <c r="Z39" s="12" t="s">
        <v>2994</v>
      </c>
      <c r="AA39" s="11">
        <f>IF(OR(AND(V39="",Z39&lt;&gt;""),AND(V39&lt;&gt;"",Z39=""),AND(V39="w",Z39&lt;&gt;"w"),AND(V39="nt",Z39="w"),RR4!R21="x"),"x","")</f>
      </c>
      <c r="AB39" s="61"/>
      <c r="AC39" s="61"/>
      <c r="AE39" s="62">
        <f>IF(AND(COUNT($V39)=1,OR($O39=1,$P39=1,$Q39=1,$R39=1,$S39=1,$T39=1)),INT($V39),"x")</f>
        <v>27</v>
      </c>
      <c r="AF39" s="63">
        <f>IF(AE39="x","",IF(AE39=SMALL($AE$22:$AE$76,1),AE39,""))</f>
      </c>
      <c r="AG39" s="62" t="str">
        <f>IF(AND(COUNT($V39)=1,OR($O39=2,$P39=2,$Q39=2,$R39=2,$S39=2,$T39=2)),INT($V39),"x")</f>
        <v>x</v>
      </c>
      <c r="AH39" s="63">
        <f>IF(AG39="x","",IF(AG39=SMALL($AG$22:$AG$76,1),AG39,""))</f>
      </c>
      <c r="AI39" s="62" t="str">
        <f>IF(AND(COUNT($V39)=1,OR($O39=3,$P39=3,$Q39=3,$R39=3,$S39=3,$T39=3)),INT($V39),"x")</f>
        <v>x</v>
      </c>
      <c r="AJ39" s="63">
        <f>IF(AI39="x","",IF(AI39=SMALL($AI$22:$AI$76,1),AI39,""))</f>
      </c>
      <c r="AK39" s="62">
        <f>IF(AND(COUNT($V39)=1,OR($O39=4,$P39=4,$Q39=4,$R39=4,$S39=4,$T39=4)),INT($V39),"x")</f>
        <v>27</v>
      </c>
      <c r="AL39" s="63">
        <f>IF(AK39="x","",IF(AK39=SMALL($AK$22:$AK$76,1),AK39,""))</f>
      </c>
      <c r="AM39" s="62">
        <f>IF(AND(COUNT($V39)=1,OR($O39=5,$P39=5,$Q39=5,$R39=5,$S39=5,$T39=5)),INT($V39),"x")</f>
        <v>27</v>
      </c>
      <c r="AN39" s="63">
        <f>IF(AM39="x","",IF(AM39=SMALL($AM$22:$AM$76,1),AM39,""))</f>
      </c>
      <c r="AO39" s="62">
        <f>IF(AND(COUNT($V39)=1,OR($O39=6,$P39=6,$Q39=6,$R39=6,$S39=6,$T39=6)),INT($V39),"x")</f>
        <v>27</v>
      </c>
      <c r="AP39" s="63">
        <f>IF(AO39="x","",IF(AO39=SMALL($AO$22:$AO$76,1),AO39,""))</f>
      </c>
      <c r="AQ39" s="64"/>
      <c r="AR39" s="32"/>
    </row>
    <row r="40" spans="1:44" ht="15" customHeight="1">
      <c r="A40" s="366"/>
      <c r="B40" s="32"/>
      <c r="C40" s="367"/>
      <c r="D40" s="32"/>
      <c r="H40" s="490"/>
      <c r="I40" s="490"/>
      <c r="J40" s="490"/>
      <c r="K40" s="490"/>
      <c r="L40" s="490"/>
      <c r="M40" s="491">
        <v>5</v>
      </c>
      <c r="N40" s="492"/>
      <c r="O40" s="12"/>
      <c r="P40" s="12"/>
      <c r="Q40" s="12"/>
      <c r="R40" s="12"/>
      <c r="S40" s="468"/>
      <c r="T40" s="469"/>
      <c r="U40" s="61">
        <f>IF(V40="","",IF(COUNT(O40:T40)&lt;&gt;4,"X",""))</f>
      </c>
      <c r="V40" s="480"/>
      <c r="W40" s="481"/>
      <c r="X40" s="481"/>
      <c r="Y40" s="61">
        <f>IF($V40="","",IF($R$3&gt;$V40,"X",""))</f>
      </c>
      <c r="Z40" s="12"/>
      <c r="AA40" s="11">
        <f>IF(OR(AND(V40="",Z40&lt;&gt;""),AND(V40&lt;&gt;"",Z40=""),AND(V40="w",Z40&lt;&gt;"w"),AND(V40="nt",Z40="w"),RR4!R22="x"),"x","")</f>
      </c>
      <c r="AB40" s="61"/>
      <c r="AC40" s="61"/>
      <c r="AE40" s="65" t="str">
        <f>IF(AND(COUNT($V40)=1,OR($O40=1,$P40=1,$Q40=1,$R40=1,$S40=1,$T40=1)),INT($V40),"x")</f>
        <v>x</v>
      </c>
      <c r="AF40" s="66">
        <f>IF(AE40="x","",IF(AE40=SMALL($AE$22:$AE$76,1),AE40,""))</f>
      </c>
      <c r="AG40" s="65" t="str">
        <f>IF(AND(COUNT($V40)=1,OR($O40=2,$P40=2,$Q40=2,$R40=2,$S40=2,$T40=2)),INT($V40),"x")</f>
        <v>x</v>
      </c>
      <c r="AH40" s="63">
        <f>IF(AG40="x","",IF(AG40=SMALL($AG$22:$AG$76,1),AG40,""))</f>
      </c>
      <c r="AI40" s="65" t="str">
        <f>IF(AND(COUNT($V40)=1,OR($O40=3,$P40=3,$Q40=3,$R40=3,$S40=3,$T40=3)),INT($V40),"x")</f>
        <v>x</v>
      </c>
      <c r="AJ40" s="63">
        <f>IF(AI40="x","",IF(AI40=SMALL($AI$22:$AI$76,1),AI40,""))</f>
      </c>
      <c r="AK40" s="65" t="str">
        <f>IF(AND(COUNT($V40)=1,OR($O40=4,$P40=4,$Q40=4,$R40=4,$S40=4,$T40=4)),INT($V40),"x")</f>
        <v>x</v>
      </c>
      <c r="AL40" s="63">
        <f>IF(AK40="x","",IF(AK40=SMALL($AK$22:$AK$76,1),AK40,""))</f>
      </c>
      <c r="AM40" s="65" t="str">
        <f>IF(AND(COUNT($V40)=1,OR($O40=5,$P40=5,$Q40=5,$R40=5,$S40=5,$T40=5)),INT($V40),"x")</f>
        <v>x</v>
      </c>
      <c r="AN40" s="63">
        <f>IF(AM40="x","",IF(AM40=SMALL($AM$22:$AM$76,1),AM40,""))</f>
      </c>
      <c r="AO40" s="65" t="str">
        <f>IF(AND(COUNT($V40)=1,OR($O40=6,$P40=6,$Q40=6,$R40=6,$S40=6,$T40=6)),INT($V40),"x")</f>
        <v>x</v>
      </c>
      <c r="AP40" s="63">
        <f>IF(AO40="x","",IF(AO40=SMALL($AO$22:$AO$76,1),AO40,""))</f>
      </c>
      <c r="AQ40" s="64"/>
      <c r="AR40" s="32"/>
    </row>
    <row r="41" spans="1:42" ht="4.5" customHeight="1">
      <c r="A41" s="366"/>
      <c r="B41" s="32"/>
      <c r="C41" s="367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564"/>
      <c r="W41" s="564"/>
      <c r="X41" s="564"/>
      <c r="Y41" s="174"/>
      <c r="Z41" s="175"/>
      <c r="AA41" s="68"/>
      <c r="AB41" s="61"/>
      <c r="AC41" s="61"/>
      <c r="AE41" s="69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4" ht="15" customHeight="1">
      <c r="A42" s="366"/>
      <c r="B42" s="32"/>
      <c r="C42" s="367"/>
      <c r="D42" s="32"/>
      <c r="E42" s="55" t="str">
        <f>VLOOKUP("race",'[1]Strings'!$A$3:$K$102,'[1]Strings'!$A$1,FALSE)</f>
        <v>Rennen</v>
      </c>
      <c r="F42" s="55" t="str">
        <f>VLOOKUP("baan / piste",'[1]Strings'!$A$3:$K$102,'[1]Strings'!$A$1,FALSE)</f>
        <v>Bahn</v>
      </c>
      <c r="G42" s="55"/>
      <c r="H42" s="476" t="str">
        <f>VLOOKUP("tegen / contre",'[1]Strings'!$A$3:$K$102,'[1]Strings'!$A$1,FALSE)</f>
        <v>gegen</v>
      </c>
      <c r="I42" s="476"/>
      <c r="J42" s="476"/>
      <c r="K42" s="476"/>
      <c r="L42" s="477"/>
      <c r="M42" s="477" t="str">
        <f>VLOOKUP("heat",'[1]Strings'!$A$3:$K$102,'[1]Strings'!$A$1,FALSE)</f>
        <v>Lauf</v>
      </c>
      <c r="N42" s="477"/>
      <c r="O42" s="476" t="str">
        <f>VLOOKUP("Honden / chiens",'[1]Strings'!$A$3:$K$102,'[1]Strings'!$A$1,FALSE)</f>
        <v>Hunde</v>
      </c>
      <c r="P42" s="476"/>
      <c r="Q42" s="476"/>
      <c r="R42" s="476"/>
      <c r="S42" s="476"/>
      <c r="T42" s="476"/>
      <c r="U42" s="162" t="str">
        <f>VLOOKUP("          Tijd/temps",'[1]Strings'!$A$3:$K$102,'[1]Strings'!$A$1,FALSE)</f>
        <v>           Zeit</v>
      </c>
      <c r="V42" s="163"/>
      <c r="W42" s="163"/>
      <c r="X42" s="163"/>
      <c r="Y42" s="161" t="str">
        <f>VLOOKUP("    W / L / T",'[1]Strings'!$A$3:$K$102,'[1]Strings'!$A$1,FALSE)</f>
        <v>    W/L/T</v>
      </c>
      <c r="Z42" s="55"/>
      <c r="AA42" s="68"/>
      <c r="AB42" s="61"/>
      <c r="AC42" s="61"/>
      <c r="AD42" s="55"/>
      <c r="AE42" s="70"/>
      <c r="AF42" s="67"/>
      <c r="AG42" s="70"/>
      <c r="AH42" s="67"/>
      <c r="AI42" s="70"/>
      <c r="AJ42" s="67"/>
      <c r="AK42" s="70"/>
      <c r="AL42" s="67"/>
      <c r="AM42" s="70"/>
      <c r="AN42" s="67"/>
      <c r="AO42" s="70"/>
      <c r="AP42" s="67"/>
      <c r="AQ42" s="565"/>
      <c r="AR42" s="478"/>
    </row>
    <row r="43" spans="1:44" ht="15" customHeight="1">
      <c r="A43" s="366"/>
      <c r="B43" s="32"/>
      <c r="C43" s="367"/>
      <c r="D43" s="32"/>
      <c r="E43" s="488">
        <f>IF(uitslagen!$E$82="","",VLOOKUP(C3,uitslagen!$E$82:$L$90,8,FALSE))</f>
        <v>2</v>
      </c>
      <c r="F43" s="59" t="str">
        <f>IF(E43="","",IF(VLOOKUP($C$3&amp;"-"&amp;E43,'DE4'!$S$10:$AS$24,27,FALSE)="Rood",VLOOKUP("Rood / Rouge",'[1]Strings'!$A$3:$K$102,'[1]Strings'!$A$1,FALSE),""))</f>
        <v>Rot</v>
      </c>
      <c r="G43" s="71">
        <f>IF(E43="","",E43)</f>
        <v>2</v>
      </c>
      <c r="H43" s="478" t="str">
        <f>IF(E43="","",VLOOKUP($C$3&amp;"-"&amp;E43,'DE4'!$S$10:$AR$24,26,FALSE))</f>
        <v>BayernXpress I</v>
      </c>
      <c r="I43" s="478"/>
      <c r="J43" s="478"/>
      <c r="K43" s="478"/>
      <c r="L43" s="479"/>
      <c r="M43" s="491">
        <v>1</v>
      </c>
      <c r="N43" s="492"/>
      <c r="O43" s="12">
        <v>2</v>
      </c>
      <c r="P43" s="12">
        <v>1</v>
      </c>
      <c r="Q43" s="12">
        <v>3</v>
      </c>
      <c r="R43" s="12">
        <v>4</v>
      </c>
      <c r="S43" s="468"/>
      <c r="T43" s="469"/>
      <c r="U43" s="61">
        <f>IF(V43="","",IF(COUNT(O43:T43)&lt;&gt;4,"X",""))</f>
      </c>
      <c r="V43" s="480">
        <v>19.24</v>
      </c>
      <c r="W43" s="481"/>
      <c r="X43" s="481"/>
      <c r="Y43" s="61">
        <f>IF($V43="","",IF($R$3&gt;$V43,"X",""))</f>
      </c>
      <c r="Z43" s="12" t="s">
        <v>2992</v>
      </c>
      <c r="AA43" s="11">
        <f>IF(G43="","",IF(OR(AND(V43="",Z43&lt;&gt;""),AND(V43&lt;&gt;"",Z43=""),AND(V43="w",Z43&lt;&gt;"w"),AND(V43="nt",Z43="w"),VLOOKUP($C$3&amp;"-"&amp;G43,'DE4'!$S$10:$AM$24,M43+16,FALSE)="x"),"x",""))</f>
      </c>
      <c r="AB43" s="61"/>
      <c r="AC43" s="61"/>
      <c r="AE43" s="62">
        <f>IF(AND(COUNT($V43)=1,OR($O43=1,$P43=1,$Q43=1,$R43=1,$S43=1,$T43=1)),INT($V43),"x")</f>
        <v>19</v>
      </c>
      <c r="AF43" s="63">
        <f>IF(AE43="x","",IF(AE43=SMALL($AE$22:$AE$76,1),AE43,""))</f>
      </c>
      <c r="AG43" s="62">
        <f>IF(AND(COUNT($V43)=1,OR($O43=2,$P43=2,$Q43=2,$R43=2,$S43=2,$T43=2)),INT($V43),"x")</f>
        <v>19</v>
      </c>
      <c r="AH43" s="63">
        <f>IF(AG43="x","",IF(AG43=SMALL($AG$22:$AG$76,1),AG43,""))</f>
      </c>
      <c r="AI43" s="62">
        <f>IF(AND(COUNT($V43)=1,OR($O43=3,$P43=3,$Q43=3,$R43=3,$S43=3,$T43=3)),INT($V43),"x")</f>
        <v>19</v>
      </c>
      <c r="AJ43" s="63">
        <f>IF(AI43="x","",IF(AI43=SMALL($AI$22:$AI$76,1),AI43,""))</f>
      </c>
      <c r="AK43" s="62">
        <f>IF(AND(COUNT($V43)=1,OR($O43=4,$P43=4,$Q43=4,$R43=4,$S43=4,$T43=4)),INT($V43),"x")</f>
        <v>19</v>
      </c>
      <c r="AL43" s="63">
        <f>IF(AK43="x","",IF(AK43=SMALL($AK$22:$AK$76,1),AK43,""))</f>
      </c>
      <c r="AM43" s="62" t="str">
        <f>IF(AND(COUNT($V43)=1,OR($O43=5,$P43=5,$Q43=5,$R43=5,$S43=5,$T43=5)),INT($V43),"x")</f>
        <v>x</v>
      </c>
      <c r="AN43" s="63">
        <f>IF(AM43="x","",IF(AM43=SMALL($AM$22:$AM$76,1),AM43,""))</f>
      </c>
      <c r="AO43" s="62" t="str">
        <f>IF(AND(COUNT($V43)=1,OR($O43=6,$P43=6,$Q43=6,$R43=6,$S43=6,$T43=6)),INT($V43),"x")</f>
        <v>x</v>
      </c>
      <c r="AP43" s="63">
        <f>IF(AO43="x","",IF(AO43=SMALL($AO$22:$AO$76,1),AO43,""))</f>
      </c>
      <c r="AQ43" s="64"/>
      <c r="AR43" s="32"/>
    </row>
    <row r="44" spans="1:44" ht="15" customHeight="1">
      <c r="A44" s="366"/>
      <c r="B44" s="32"/>
      <c r="C44" s="367"/>
      <c r="D44" s="32"/>
      <c r="E44" s="489"/>
      <c r="F44" s="59">
        <f>IF(E43="","",IF(VLOOKUP($C$3&amp;"-"&amp;E43,'DE4'!$S$10:$AS$24,27,FALSE)="Blauw",VLOOKUP("Blauw / Bleu",'[1]Strings'!$A$3:$K$102,'[1]Strings'!$A$1,FALSE),""))</f>
      </c>
      <c r="G44" s="71">
        <f>IF(E43="","",E43)</f>
        <v>2</v>
      </c>
      <c r="H44" s="490">
        <f>IF(OR(U43="x",Y43="x",AA43="x"),"CONTROLEER INVOER       HEAT 1",IF(OR(U44="x",Y44="x",AA44="x"),"CONTROLEER INVOER       HEAT 2",IF(OR(U45="x",Y45="x",AA45="x"),"CONTROLEER INVOER       HEAT 3",IF(OR(U46="x",Y46="x",AA46="x"),"CONTROLEER INVOER       HEAT 4",IF(OR(U47="x",Y47="x",AA47="x"),"CONTROLEER INVOER       HEAT 5","")))))</f>
      </c>
      <c r="I44" s="490"/>
      <c r="J44" s="490"/>
      <c r="K44" s="490"/>
      <c r="L44" s="490"/>
      <c r="M44" s="491">
        <v>2</v>
      </c>
      <c r="N44" s="492"/>
      <c r="O44" s="12">
        <v>2</v>
      </c>
      <c r="P44" s="12">
        <v>1</v>
      </c>
      <c r="Q44" s="12">
        <v>3</v>
      </c>
      <c r="R44" s="12">
        <v>4</v>
      </c>
      <c r="S44" s="468"/>
      <c r="T44" s="469"/>
      <c r="U44" s="61">
        <f>IF(V44="","",IF(COUNT(O44:T44)&lt;&gt;4,"X",""))</f>
      </c>
      <c r="V44" s="480">
        <v>26.83</v>
      </c>
      <c r="W44" s="481"/>
      <c r="X44" s="481"/>
      <c r="Y44" s="61">
        <f>IF($V44="","",IF($R$3&gt;$V44,"X",""))</f>
      </c>
      <c r="Z44" s="12" t="s">
        <v>2992</v>
      </c>
      <c r="AA44" s="11">
        <f>IF(G44="","",IF(OR(AND(V44="",Z44&lt;&gt;""),AND(V44&lt;&gt;"",Z44=""),AND(V44="w",Z44&lt;&gt;"w"),AND(V44="nt",Z44="w"),VLOOKUP($C$3&amp;"-"&amp;G44,'DE4'!$S$10:$AM$24,M44+16,FALSE)="x"),"x",""))</f>
      </c>
      <c r="AB44" s="61"/>
      <c r="AC44" s="61"/>
      <c r="AE44" s="62">
        <f>IF(AND(COUNT($V44)=1,OR($O44=1,$P44=1,$Q44=1,$R44=1,$S44=1,$T44=1)),INT($V44),"x")</f>
        <v>26</v>
      </c>
      <c r="AF44" s="63">
        <f>IF(AE44="x","",IF(AE44=SMALL($AE$22:$AE$76,1),AE44,""))</f>
      </c>
      <c r="AG44" s="62">
        <f>IF(AND(COUNT($V44)=1,OR($O44=2,$P44=2,$Q44=2,$R44=2,$S44=2,$T44=2)),INT($V44),"x")</f>
        <v>26</v>
      </c>
      <c r="AH44" s="63">
        <f>IF(AG44="x","",IF(AG44=SMALL($AG$22:$AG$76,1),AG44,""))</f>
      </c>
      <c r="AI44" s="62">
        <f>IF(AND(COUNT($V44)=1,OR($O44=3,$P44=3,$Q44=3,$R44=3,$S44=3,$T44=3)),INT($V44),"x")</f>
        <v>26</v>
      </c>
      <c r="AJ44" s="63">
        <f>IF(AI44="x","",IF(AI44=SMALL($AI$22:$AI$76,1),AI44,""))</f>
      </c>
      <c r="AK44" s="62">
        <f>IF(AND(COUNT($V44)=1,OR($O44=4,$P44=4,$Q44=4,$R44=4,$S44=4,$T44=4)),INT($V44),"x")</f>
        <v>26</v>
      </c>
      <c r="AL44" s="63">
        <f>IF(AK44="x","",IF(AK44=SMALL($AK$22:$AK$76,1),AK44,""))</f>
      </c>
      <c r="AM44" s="62" t="str">
        <f>IF(AND(COUNT($V44)=1,OR($O44=5,$P44=5,$Q44=5,$R44=5,$S44=5,$T44=5)),INT($V44),"x")</f>
        <v>x</v>
      </c>
      <c r="AN44" s="63">
        <f>IF(AM44="x","",IF(AM44=SMALL($AM$22:$AM$76,1),AM44,""))</f>
      </c>
      <c r="AO44" s="62" t="str">
        <f>IF(AND(COUNT($V44)=1,OR($O44=6,$P44=6,$Q44=6,$R44=6,$S44=6,$T44=6)),INT($V44),"x")</f>
        <v>x</v>
      </c>
      <c r="AP44" s="63">
        <f>IF(AO44="x","",IF(AO44=SMALL($AO$22:$AO$76,1),AO44,""))</f>
      </c>
      <c r="AQ44" s="64"/>
      <c r="AR44" s="32"/>
    </row>
    <row r="45" spans="1:44" ht="15" customHeight="1">
      <c r="A45" s="366"/>
      <c r="B45" s="32"/>
      <c r="C45" s="367"/>
      <c r="D45" s="32"/>
      <c r="E45" s="2" t="str">
        <f>IF(E43="","",uitslagen!$B$49)</f>
        <v>DE</v>
      </c>
      <c r="F45" s="71"/>
      <c r="G45" s="71">
        <f>IF(E43="","",E43)</f>
        <v>2</v>
      </c>
      <c r="H45" s="490"/>
      <c r="I45" s="490"/>
      <c r="J45" s="490"/>
      <c r="K45" s="490"/>
      <c r="L45" s="490"/>
      <c r="M45" s="491">
        <v>3</v>
      </c>
      <c r="N45" s="492"/>
      <c r="O45" s="12">
        <v>2</v>
      </c>
      <c r="P45" s="12">
        <v>1</v>
      </c>
      <c r="Q45" s="12">
        <v>3</v>
      </c>
      <c r="R45" s="12">
        <v>4</v>
      </c>
      <c r="S45" s="468"/>
      <c r="T45" s="469"/>
      <c r="U45" s="61">
        <f>IF(V45="","",IF(COUNT(O45:T45)&lt;&gt;4,"X",""))</f>
      </c>
      <c r="V45" s="480">
        <v>36.64</v>
      </c>
      <c r="W45" s="481"/>
      <c r="X45" s="481"/>
      <c r="Y45" s="61">
        <f>IF($V45="","",IF($R$3&gt;$V45,"X",""))</f>
      </c>
      <c r="Z45" s="12" t="s">
        <v>2992</v>
      </c>
      <c r="AA45" s="11">
        <f>IF(G45="","",IF(OR(AND(V45="",Z45&lt;&gt;""),AND(V45&lt;&gt;"",Z45=""),AND(V45="w",Z45&lt;&gt;"w"),AND(V45="nt",Z45="w"),VLOOKUP($C$3&amp;"-"&amp;G45,'DE4'!$S$10:$AM$24,M45+16,FALSE)="x"),"x",""))</f>
      </c>
      <c r="AB45" s="61"/>
      <c r="AC45" s="61"/>
      <c r="AE45" s="62">
        <f>IF(AND(COUNT($V45)=1,OR($O45=1,$P45=1,$Q45=1,$R45=1,$S45=1,$T45=1)),INT($V45),"x")</f>
        <v>36</v>
      </c>
      <c r="AF45" s="63">
        <f>IF(AE45="x","",IF(AE45=SMALL($AE$22:$AE$76,1),AE45,""))</f>
      </c>
      <c r="AG45" s="62">
        <f>IF(AND(COUNT($V45)=1,OR($O45=2,$P45=2,$Q45=2,$R45=2,$S45=2,$T45=2)),INT($V45),"x")</f>
        <v>36</v>
      </c>
      <c r="AH45" s="63">
        <f>IF(AG45="x","",IF(AG45=SMALL($AG$22:$AG$76,1),AG45,""))</f>
      </c>
      <c r="AI45" s="62">
        <f>IF(AND(COUNT($V45)=1,OR($O45=3,$P45=3,$Q45=3,$R45=3,$S45=3,$T45=3)),INT($V45),"x")</f>
        <v>36</v>
      </c>
      <c r="AJ45" s="63">
        <f>IF(AI45="x","",IF(AI45=SMALL($AI$22:$AI$76,1),AI45,""))</f>
      </c>
      <c r="AK45" s="62">
        <f>IF(AND(COUNT($V45)=1,OR($O45=4,$P45=4,$Q45=4,$R45=4,$S45=4,$T45=4)),INT($V45),"x")</f>
        <v>36</v>
      </c>
      <c r="AL45" s="63">
        <f>IF(AK45="x","",IF(AK45=SMALL($AK$22:$AK$76,1),AK45,""))</f>
      </c>
      <c r="AM45" s="62" t="str">
        <f>IF(AND(COUNT($V45)=1,OR($O45=5,$P45=5,$Q45=5,$R45=5,$S45=5,$T45=5)),INT($V45),"x")</f>
        <v>x</v>
      </c>
      <c r="AN45" s="63">
        <f>IF(AM45="x","",IF(AM45=SMALL($AM$22:$AM$76,1),AM45,""))</f>
      </c>
      <c r="AO45" s="62" t="str">
        <f>IF(AND(COUNT($V45)=1,OR($O45=6,$P45=6,$Q45=6,$R45=6,$S45=6,$T45=6)),INT($V45),"x")</f>
        <v>x</v>
      </c>
      <c r="AP45" s="63">
        <f>IF(AO45="x","",IF(AO45=SMALL($AO$22:$AO$76,1),AO45,""))</f>
      </c>
      <c r="AQ45" s="64"/>
      <c r="AR45" s="32"/>
    </row>
    <row r="46" spans="1:44" ht="15" customHeight="1">
      <c r="A46" s="366"/>
      <c r="B46" s="32"/>
      <c r="C46" s="367"/>
      <c r="D46" s="32"/>
      <c r="E46" s="71">
        <f>IF(OR(COUNTIF(Z43:Z47,"w")=uitslagen!$H$49,MID(E43,1,1)="T"),2,IF(COUNTIF(Z43:Z47,"l")=uitslagen!$H$49,3,""))</f>
        <v>2</v>
      </c>
      <c r="G46" s="71">
        <f>IF(E43="","",E43)</f>
        <v>2</v>
      </c>
      <c r="H46" s="490"/>
      <c r="I46" s="490"/>
      <c r="J46" s="490"/>
      <c r="K46" s="490"/>
      <c r="L46" s="490"/>
      <c r="M46" s="491">
        <v>4</v>
      </c>
      <c r="N46" s="492"/>
      <c r="O46" s="12"/>
      <c r="P46" s="12"/>
      <c r="Q46" s="12"/>
      <c r="R46" s="12"/>
      <c r="S46" s="468"/>
      <c r="T46" s="469"/>
      <c r="U46" s="61">
        <f>IF(V46="","",IF(COUNT(O46:T46)&lt;&gt;4,"X",""))</f>
      </c>
      <c r="V46" s="480"/>
      <c r="W46" s="481"/>
      <c r="X46" s="481"/>
      <c r="Y46" s="61">
        <f>IF($V46="","",IF($R$3&gt;$V46,"X",""))</f>
      </c>
      <c r="Z46" s="12"/>
      <c r="AA46" s="11">
        <f>IF(G46="","",IF(OR(AND(V46="",Z46&lt;&gt;""),AND(V46&lt;&gt;"",Z46=""),AND(V46="w",Z46&lt;&gt;"w"),AND(V46="nt",Z46="w"),VLOOKUP($C$3&amp;"-"&amp;G46,'DE4'!$S$10:$AM$24,M46+16,FALSE)="x"),"x",""))</f>
      </c>
      <c r="AB46" s="61"/>
      <c r="AC46" s="61"/>
      <c r="AE46" s="62" t="str">
        <f>IF(AND(COUNT($V46)=1,OR($O46=1,$P46=1,$Q46=1,$R46=1,$S46=1,$T46=1)),INT($V46),"x")</f>
        <v>x</v>
      </c>
      <c r="AF46" s="63">
        <f>IF(AE46="x","",IF(AE46=SMALL($AE$22:$AE$76,1),AE46,""))</f>
      </c>
      <c r="AG46" s="62" t="str">
        <f>IF(AND(COUNT($V46)=1,OR($O46=2,$P46=2,$Q46=2,$R46=2,$S46=2,$T46=2)),INT($V46),"x")</f>
        <v>x</v>
      </c>
      <c r="AH46" s="63">
        <f>IF(AG46="x","",IF(AG46=SMALL($AG$22:$AG$76,1),AG46,""))</f>
      </c>
      <c r="AI46" s="62" t="str">
        <f>IF(AND(COUNT($V46)=1,OR($O46=3,$P46=3,$Q46=3,$R46=3,$S46=3,$T46=3)),INT($V46),"x")</f>
        <v>x</v>
      </c>
      <c r="AJ46" s="63">
        <f>IF(AI46="x","",IF(AI46=SMALL($AI$22:$AI$76,1),AI46,""))</f>
      </c>
      <c r="AK46" s="62" t="str">
        <f>IF(AND(COUNT($V46)=1,OR($O46=4,$P46=4,$Q46=4,$R46=4,$S46=4,$T46=4)),INT($V46),"x")</f>
        <v>x</v>
      </c>
      <c r="AL46" s="63">
        <f>IF(AK46="x","",IF(AK46=SMALL($AK$22:$AK$76,1),AK46,""))</f>
      </c>
      <c r="AM46" s="62" t="str">
        <f>IF(AND(COUNT($V46)=1,OR($O46=5,$P46=5,$Q46=5,$R46=5,$S46=5,$T46=5)),INT($V46),"x")</f>
        <v>x</v>
      </c>
      <c r="AN46" s="63">
        <f>IF(AM46="x","",IF(AM46=SMALL($AM$22:$AM$76,1),AM46,""))</f>
      </c>
      <c r="AO46" s="62" t="str">
        <f>IF(AND(COUNT($V46)=1,OR($O46=6,$P46=6,$Q46=6,$R46=6,$S46=6,$T46=6)),INT($V46),"x")</f>
        <v>x</v>
      </c>
      <c r="AP46" s="63">
        <f>IF(AO46="x","",IF(AO46=SMALL($AO$22:$AO$76,1),AO46,""))</f>
      </c>
      <c r="AQ46" s="64"/>
      <c r="AR46" s="32"/>
    </row>
    <row r="47" spans="1:44" ht="15" customHeight="1">
      <c r="A47" s="366"/>
      <c r="B47" s="32"/>
      <c r="C47" s="367"/>
      <c r="D47" s="32"/>
      <c r="E47" s="72">
        <f>IF(E43=16,"FINALE",IF(E43=17,"FINALE  Herkansing",""))</f>
      </c>
      <c r="G47" s="71">
        <f>IF(E43="","",E43)</f>
        <v>2</v>
      </c>
      <c r="H47" s="490"/>
      <c r="I47" s="490"/>
      <c r="J47" s="490"/>
      <c r="K47" s="490"/>
      <c r="L47" s="490"/>
      <c r="M47" s="491">
        <v>5</v>
      </c>
      <c r="N47" s="492"/>
      <c r="O47" s="12"/>
      <c r="P47" s="12"/>
      <c r="Q47" s="12"/>
      <c r="R47" s="12"/>
      <c r="S47" s="468"/>
      <c r="T47" s="469"/>
      <c r="U47" s="61">
        <f>IF(V47="","",IF(COUNT(O47:T47)&lt;&gt;4,"X",""))</f>
      </c>
      <c r="V47" s="480"/>
      <c r="W47" s="481"/>
      <c r="X47" s="481"/>
      <c r="Y47" s="61">
        <f>IF($V47="","",IF($R$3&gt;$V47,"X",""))</f>
      </c>
      <c r="Z47" s="12"/>
      <c r="AA47" s="11">
        <f>IF(G47="","",IF(OR(AND(V47="",Z47&lt;&gt;""),AND(V47&lt;&gt;"",Z47=""),AND(V47="w",Z47&lt;&gt;"w"),AND(V47="nt",Z47="w"),VLOOKUP($C$3&amp;"-"&amp;G47,'DE4'!$S$10:$AM$24,M47+16,FALSE)="x"),"x",""))</f>
      </c>
      <c r="AB47" s="61"/>
      <c r="AC47" s="61"/>
      <c r="AE47" s="65" t="str">
        <f>IF(AND(COUNT($V47)=1,OR($O47=1,$P47=1,$Q47=1,$R47=1,$S47=1,$T47=1)),INT($V47),"x")</f>
        <v>x</v>
      </c>
      <c r="AF47" s="66">
        <f>IF(AE47="x","",IF(AE47=SMALL($AE$22:$AE$76,1),AE47,""))</f>
      </c>
      <c r="AG47" s="65" t="str">
        <f>IF(AND(COUNT($V47)=1,OR($O47=2,$P47=2,$Q47=2,$R47=2,$S47=2,$T47=2)),INT($V47),"x")</f>
        <v>x</v>
      </c>
      <c r="AH47" s="63">
        <f>IF(AG47="x","",IF(AG47=SMALL($AG$22:$AG$76,1),AG47,""))</f>
      </c>
      <c r="AI47" s="65" t="str">
        <f>IF(AND(COUNT($V47)=1,OR($O47=3,$P47=3,$Q47=3,$R47=3,$S47=3,$T47=3)),INT($V47),"x")</f>
        <v>x</v>
      </c>
      <c r="AJ47" s="63">
        <f>IF(AI47="x","",IF(AI47=SMALL($AI$22:$AI$76,1),AI47,""))</f>
      </c>
      <c r="AK47" s="65" t="str">
        <f>IF(AND(COUNT($V47)=1,OR($O47=4,$P47=4,$Q47=4,$R47=4,$S47=4,$T47=4)),INT($V47),"x")</f>
        <v>x</v>
      </c>
      <c r="AL47" s="63">
        <f>IF(AK47="x","",IF(AK47=SMALL($AK$22:$AK$76,1),AK47,""))</f>
      </c>
      <c r="AM47" s="65" t="str">
        <f>IF(AND(COUNT($V47)=1,OR($O47=5,$P47=5,$Q47=5,$R47=5,$S47=5,$T47=5)),INT($V47),"x")</f>
        <v>x</v>
      </c>
      <c r="AN47" s="63">
        <f>IF(AM47="x","",IF(AM47=SMALL($AM$22:$AM$76,1),AM47,""))</f>
      </c>
      <c r="AO47" s="65" t="str">
        <f>IF(AND(COUNT($V47)=1,OR($O47=6,$P47=6,$Q47=6,$R47=6,$S47=6,$T47=6)),INT($V47),"x")</f>
        <v>x</v>
      </c>
      <c r="AP47" s="63">
        <f>IF(AO47="x","",IF(AO47=SMALL($AO$22:$AO$76,1),AO47,""))</f>
      </c>
      <c r="AQ47" s="64"/>
      <c r="AR47" s="32"/>
    </row>
    <row r="48" spans="1:42" ht="3.75" customHeight="1">
      <c r="A48" s="366"/>
      <c r="B48" s="32"/>
      <c r="C48" s="367"/>
      <c r="E48" s="67"/>
      <c r="F48" s="67"/>
      <c r="G48" s="73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487"/>
      <c r="W48" s="487"/>
      <c r="X48" s="487"/>
      <c r="Y48" s="67"/>
      <c r="Z48" s="76"/>
      <c r="AA48" s="68"/>
      <c r="AB48" s="61"/>
      <c r="AC48" s="61"/>
      <c r="AE48" s="69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</row>
    <row r="49" spans="1:44" ht="15" customHeight="1">
      <c r="A49" s="366"/>
      <c r="B49" s="32"/>
      <c r="C49" s="367"/>
      <c r="D49" s="32"/>
      <c r="E49" s="55" t="str">
        <f>VLOOKUP("race",'[1]Strings'!$A$3:$K$102,'[1]Strings'!$A$1,FALSE)</f>
        <v>Rennen</v>
      </c>
      <c r="F49" s="55" t="str">
        <f>VLOOKUP("baan / piste",'[1]Strings'!$A$3:$K$102,'[1]Strings'!$A$1,FALSE)</f>
        <v>Bahn</v>
      </c>
      <c r="G49" s="55"/>
      <c r="H49" s="476" t="str">
        <f>VLOOKUP("tegen / contre",'[1]Strings'!$A$3:$K$102,'[1]Strings'!$A$1,FALSE)</f>
        <v>gegen</v>
      </c>
      <c r="I49" s="476"/>
      <c r="J49" s="476"/>
      <c r="K49" s="476"/>
      <c r="L49" s="477"/>
      <c r="M49" s="477" t="str">
        <f>VLOOKUP("heat",'[1]Strings'!$A$3:$K$102,'[1]Strings'!$A$1,FALSE)</f>
        <v>Lauf</v>
      </c>
      <c r="N49" s="477"/>
      <c r="O49" s="476" t="str">
        <f>VLOOKUP("Honden / chiens",'[1]Strings'!$A$3:$K$102,'[1]Strings'!$A$1,FALSE)</f>
        <v>Hunde</v>
      </c>
      <c r="P49" s="476"/>
      <c r="Q49" s="476"/>
      <c r="R49" s="476"/>
      <c r="S49" s="476"/>
      <c r="T49" s="476"/>
      <c r="U49" s="162" t="str">
        <f>VLOOKUP("          Tijd/temps",'[1]Strings'!$A$3:$K$102,'[1]Strings'!$A$1,FALSE)</f>
        <v>           Zeit</v>
      </c>
      <c r="V49" s="163"/>
      <c r="W49" s="163"/>
      <c r="X49" s="163"/>
      <c r="Y49" s="161" t="str">
        <f>VLOOKUP("    W / L / T",'[1]Strings'!$A$3:$K$102,'[1]Strings'!$A$1,FALSE)</f>
        <v>    W/L/T</v>
      </c>
      <c r="Z49" s="55"/>
      <c r="AA49" s="68"/>
      <c r="AB49" s="61"/>
      <c r="AC49" s="61"/>
      <c r="AD49" s="55"/>
      <c r="AE49" s="70"/>
      <c r="AF49" s="67"/>
      <c r="AG49" s="70"/>
      <c r="AH49" s="67"/>
      <c r="AI49" s="70"/>
      <c r="AJ49" s="67"/>
      <c r="AK49" s="70"/>
      <c r="AL49" s="67"/>
      <c r="AM49" s="70"/>
      <c r="AN49" s="67"/>
      <c r="AO49" s="70"/>
      <c r="AP49" s="67"/>
      <c r="AQ49" s="565"/>
      <c r="AR49" s="478"/>
    </row>
    <row r="50" spans="1:44" ht="15" customHeight="1">
      <c r="A50" s="366"/>
      <c r="B50" s="32"/>
      <c r="C50" s="367"/>
      <c r="D50" s="32"/>
      <c r="E50" s="488">
        <f>IF(OR(E46="",E43=""),"",VLOOKUP(E48&amp;"-"&amp;E43,'DE4'!$AX$10:$AZ$25,E46,FALSE))</f>
        <v>3</v>
      </c>
      <c r="F50" s="59">
        <f>IF(E50="","",IF(VLOOKUP($C$3&amp;"-"&amp;E50,'DE4'!$S$10:$AS$24,27,FALSE)="Rood",VLOOKUP("Rood / Rouge",'[1]Strings'!$A$3:$K$102,'[1]Strings'!$A$1,FALSE),""))</f>
      </c>
      <c r="G50" s="71">
        <f>IF(E50="","",E50)</f>
        <v>3</v>
      </c>
      <c r="H50" s="478" t="str">
        <f>IF(E50="","",VLOOKUP($C$3&amp;"-"&amp;E50,'DE4'!$S$10:$AR$24,26,FALSE))</f>
        <v>Cool Racers</v>
      </c>
      <c r="I50" s="478"/>
      <c r="J50" s="478"/>
      <c r="K50" s="478"/>
      <c r="L50" s="479"/>
      <c r="M50" s="491">
        <v>1</v>
      </c>
      <c r="N50" s="492"/>
      <c r="O50" s="12">
        <v>2</v>
      </c>
      <c r="P50" s="12">
        <v>1</v>
      </c>
      <c r="Q50" s="12">
        <v>3</v>
      </c>
      <c r="R50" s="12">
        <v>4</v>
      </c>
      <c r="S50" s="468"/>
      <c r="T50" s="469"/>
      <c r="U50" s="61">
        <f>IF(V50="","",IF(COUNT(O50:T50)&lt;&gt;4,"X",""))</f>
      </c>
      <c r="V50" s="480">
        <v>18.67</v>
      </c>
      <c r="W50" s="481"/>
      <c r="X50" s="481"/>
      <c r="Y50" s="61">
        <f>IF($V50="","",IF($R$3&gt;$V50,"X",""))</f>
      </c>
      <c r="Z50" s="12" t="s">
        <v>2992</v>
      </c>
      <c r="AA50" s="11">
        <f>IF(G50="","",IF(OR(AND(V50="",Z50&lt;&gt;""),AND(V50&lt;&gt;"",Z50=""),AND(V50="w",Z50&lt;&gt;"w"),AND(V50="nt",Z50="w"),VLOOKUP($C$3&amp;"-"&amp;G50,'DE4'!$S$10:$AM$24,M50+16,FALSE)="x"),"x",""))</f>
      </c>
      <c r="AB50" s="61"/>
      <c r="AC50" s="61"/>
      <c r="AE50" s="62">
        <f>IF(AND(COUNT($V50)=1,OR($O50=1,$P50=1,$Q50=1,$R50=1,$S50=1,$T50=1)),INT($V50),"x")</f>
        <v>18</v>
      </c>
      <c r="AF50" s="63">
        <f>IF(AE50="x","",IF(AE50=SMALL($AE$22:$AE$76,1),AE50,""))</f>
        <v>18</v>
      </c>
      <c r="AG50" s="62">
        <f>IF(AND(COUNT($V50)=1,OR($O50=2,$P50=2,$Q50=2,$R50=2,$S50=2,$T50=2)),INT($V50),"x")</f>
        <v>18</v>
      </c>
      <c r="AH50" s="63">
        <f>IF(AG50="x","",IF(AG50=SMALL($AG$22:$AG$76,1),AG50,""))</f>
        <v>18</v>
      </c>
      <c r="AI50" s="62">
        <f>IF(AND(COUNT($V50)=1,OR($O50=3,$P50=3,$Q50=3,$R50=3,$S50=3,$T50=3)),INT($V50),"x")</f>
        <v>18</v>
      </c>
      <c r="AJ50" s="63">
        <f>IF(AI50="x","",IF(AI50=SMALL($AI$22:$AI$76,1),AI50,""))</f>
        <v>18</v>
      </c>
      <c r="AK50" s="62">
        <f>IF(AND(COUNT($V50)=1,OR($O50=4,$P50=4,$Q50=4,$R50=4,$S50=4,$T50=4)),INT($V50),"x")</f>
        <v>18</v>
      </c>
      <c r="AL50" s="63">
        <f>IF(AK50="x","",IF(AK50=SMALL($AK$22:$AK$76,1),AK50,""))</f>
        <v>18</v>
      </c>
      <c r="AM50" s="62" t="str">
        <f>IF(AND(COUNT($V50)=1,OR($O50=5,$P50=5,$Q50=5,$R50=5,$S50=5,$T50=5)),INT($V50),"x")</f>
        <v>x</v>
      </c>
      <c r="AN50" s="63">
        <f>IF(AM50="x","",IF(AM50=SMALL($AM$22:$AM$76,1),AM50,""))</f>
      </c>
      <c r="AO50" s="62" t="str">
        <f>IF(AND(COUNT($V50)=1,OR($O50=6,$P50=6,$Q50=6,$R50=6,$S50=6,$T50=6)),INT($V50),"x")</f>
        <v>x</v>
      </c>
      <c r="AP50" s="63">
        <f>IF(AO50="x","",IF(AO50=SMALL($AO$22:$AO$76,1),AO50,""))</f>
      </c>
      <c r="AQ50" s="64"/>
      <c r="AR50" s="32"/>
    </row>
    <row r="51" spans="1:44" ht="15" customHeight="1">
      <c r="A51" s="366"/>
      <c r="B51" s="32"/>
      <c r="C51" s="367"/>
      <c r="D51" s="32"/>
      <c r="E51" s="489"/>
      <c r="F51" s="59" t="str">
        <f>IF(E50="","",IF(VLOOKUP($C$3&amp;"-"&amp;E50,'DE4'!$S$10:$AS$24,27,FALSE)="Blauw",VLOOKUP("Blauw / Bleu",'[1]Strings'!$A$3:$K$102,'[1]Strings'!$A$1,FALSE),""))</f>
        <v>Blau</v>
      </c>
      <c r="G51" s="71">
        <f>IF(E50="","",E50)</f>
        <v>3</v>
      </c>
      <c r="H51" s="490">
        <f>IF(OR(U50="x",Y50="x",AA50="x"),"CONTROLEER INVOER       HEAT 1",IF(OR(U51="x",Y51="x",AA51="x"),"CONTROLEER INVOER       HEAT 2",IF(OR(U52="x",Y52="x",AA52="x"),"CONTROLEER INVOER       HEAT 3",IF(OR(U53="x",Y53="x",AA53="x"),"CONTROLEER INVOER       HEAT 4",IF(OR(U54="x",Y54="x",AA54="x"),"CONTROLEER INVOER       HEAT 5","")))))</f>
      </c>
      <c r="I51" s="490"/>
      <c r="J51" s="490"/>
      <c r="K51" s="490"/>
      <c r="L51" s="490"/>
      <c r="M51" s="491">
        <v>2</v>
      </c>
      <c r="N51" s="492"/>
      <c r="O51" s="12">
        <v>2</v>
      </c>
      <c r="P51" s="12">
        <v>1</v>
      </c>
      <c r="Q51" s="12">
        <v>3</v>
      </c>
      <c r="R51" s="12">
        <v>4</v>
      </c>
      <c r="S51" s="468"/>
      <c r="T51" s="469"/>
      <c r="U51" s="61">
        <f>IF(V51="","",IF(COUNT(O51:T51)&lt;&gt;4,"X",""))</f>
      </c>
      <c r="V51" s="480" t="s">
        <v>2993</v>
      </c>
      <c r="W51" s="481"/>
      <c r="X51" s="481"/>
      <c r="Y51" s="61">
        <f>IF($V51="","",IF($R$3&gt;$V51,"X",""))</f>
      </c>
      <c r="Z51" s="12" t="s">
        <v>2996</v>
      </c>
      <c r="AA51" s="11">
        <f>IF(G51="","",IF(OR(AND(V51="",Z51&lt;&gt;""),AND(V51&lt;&gt;"",Z51=""),AND(V51="w",Z51&lt;&gt;"w"),AND(V51="nt",Z51="w"),VLOOKUP($C$3&amp;"-"&amp;G51,'DE4'!$S$10:$AM$24,M51+16,FALSE)="x"),"x",""))</f>
      </c>
      <c r="AB51" s="61"/>
      <c r="AC51" s="61"/>
      <c r="AE51" s="62" t="str">
        <f>IF(AND(COUNT($V51)=1,OR($O51=1,$P51=1,$Q51=1,$R51=1,$S51=1,$T51=1)),INT($V51),"x")</f>
        <v>x</v>
      </c>
      <c r="AF51" s="63">
        <f>IF(AE51="x","",IF(AE51=SMALL($AE$22:$AE$76,1),AE51,""))</f>
      </c>
      <c r="AG51" s="62" t="str">
        <f>IF(AND(COUNT($V51)=1,OR($O51=2,$P51=2,$Q51=2,$R51=2,$S51=2,$T51=2)),INT($V51),"x")</f>
        <v>x</v>
      </c>
      <c r="AH51" s="63">
        <f>IF(AG51="x","",IF(AG51=SMALL($AG$22:$AG$76,1),AG51,""))</f>
      </c>
      <c r="AI51" s="62" t="str">
        <f>IF(AND(COUNT($V51)=1,OR($O51=3,$P51=3,$Q51=3,$R51=3,$S51=3,$T51=3)),INT($V51),"x")</f>
        <v>x</v>
      </c>
      <c r="AJ51" s="63">
        <f>IF(AI51="x","",IF(AI51=SMALL($AI$22:$AI$76,1),AI51,""))</f>
      </c>
      <c r="AK51" s="62" t="str">
        <f>IF(AND(COUNT($V51)=1,OR($O51=4,$P51=4,$Q51=4,$R51=4,$S51=4,$T51=4)),INT($V51),"x")</f>
        <v>x</v>
      </c>
      <c r="AL51" s="63">
        <f>IF(AK51="x","",IF(AK51=SMALL($AK$22:$AK$76,1),AK51,""))</f>
      </c>
      <c r="AM51" s="62" t="str">
        <f>IF(AND(COUNT($V51)=1,OR($O51=5,$P51=5,$Q51=5,$R51=5,$S51=5,$T51=5)),INT($V51),"x")</f>
        <v>x</v>
      </c>
      <c r="AN51" s="63">
        <f>IF(AM51="x","",IF(AM51=SMALL($AM$22:$AM$76,1),AM51,""))</f>
      </c>
      <c r="AO51" s="62" t="str">
        <f>IF(AND(COUNT($V51)=1,OR($O51=6,$P51=6,$Q51=6,$R51=6,$S51=6,$T51=6)),INT($V51),"x")</f>
        <v>x</v>
      </c>
      <c r="AP51" s="63">
        <f>IF(AO51="x","",IF(AO51=SMALL($AO$22:$AO$76,1),AO51,""))</f>
      </c>
      <c r="AQ51" s="64"/>
      <c r="AR51" s="32"/>
    </row>
    <row r="52" spans="1:44" ht="15" customHeight="1">
      <c r="A52" s="366"/>
      <c r="B52" s="32"/>
      <c r="C52" s="367"/>
      <c r="D52" s="32"/>
      <c r="E52" s="2" t="str">
        <f>IF(E50="","",uitslagen!$B$49)</f>
        <v>DE</v>
      </c>
      <c r="F52" s="71"/>
      <c r="G52" s="71">
        <f>IF(E50="","",E50)</f>
        <v>3</v>
      </c>
      <c r="H52" s="490"/>
      <c r="I52" s="490"/>
      <c r="J52" s="490"/>
      <c r="K52" s="490"/>
      <c r="L52" s="490"/>
      <c r="M52" s="491">
        <v>3</v>
      </c>
      <c r="N52" s="492"/>
      <c r="O52" s="12">
        <v>2</v>
      </c>
      <c r="P52" s="12">
        <v>1</v>
      </c>
      <c r="Q52" s="12">
        <v>3</v>
      </c>
      <c r="R52" s="12">
        <v>4</v>
      </c>
      <c r="S52" s="468"/>
      <c r="T52" s="469"/>
      <c r="U52" s="61">
        <f>IF(V52="","",IF(COUNT(O52:T52)&lt;&gt;4,"X",""))</f>
      </c>
      <c r="V52" s="480">
        <v>18.87</v>
      </c>
      <c r="W52" s="481"/>
      <c r="X52" s="481"/>
      <c r="Y52" s="61">
        <f>IF($V52="","",IF($R$3&gt;$V52,"X",""))</f>
      </c>
      <c r="Z52" s="12" t="s">
        <v>2992</v>
      </c>
      <c r="AA52" s="11">
        <f>IF(G52="","",IF(OR(AND(V52="",Z52&lt;&gt;""),AND(V52&lt;&gt;"",Z52=""),AND(V52="w",Z52&lt;&gt;"w"),AND(V52="nt",Z52="w"),VLOOKUP($C$3&amp;"-"&amp;G52,'DE4'!$S$10:$AM$24,M52+16,FALSE)="x"),"x",""))</f>
      </c>
      <c r="AB52" s="61"/>
      <c r="AC52" s="61"/>
      <c r="AE52" s="62">
        <f>IF(AND(COUNT($V52)=1,OR($O52=1,$P52=1,$Q52=1,$R52=1,$S52=1,$T52=1)),INT($V52),"x")</f>
        <v>18</v>
      </c>
      <c r="AF52" s="63">
        <f>IF(AE52="x","",IF(AE52=SMALL($AE$22:$AE$76,1),AE52,""))</f>
        <v>18</v>
      </c>
      <c r="AG52" s="62">
        <f>IF(AND(COUNT($V52)=1,OR($O52=2,$P52=2,$Q52=2,$R52=2,$S52=2,$T52=2)),INT($V52),"x")</f>
        <v>18</v>
      </c>
      <c r="AH52" s="63">
        <f>IF(AG52="x","",IF(AG52=SMALL($AG$22:$AG$76,1),AG52,""))</f>
        <v>18</v>
      </c>
      <c r="AI52" s="62">
        <f>IF(AND(COUNT($V52)=1,OR($O52=3,$P52=3,$Q52=3,$R52=3,$S52=3,$T52=3)),INT($V52),"x")</f>
        <v>18</v>
      </c>
      <c r="AJ52" s="63">
        <f>IF(AI52="x","",IF(AI52=SMALL($AI$22:$AI$76,1),AI52,""))</f>
        <v>18</v>
      </c>
      <c r="AK52" s="62">
        <f>IF(AND(COUNT($V52)=1,OR($O52=4,$P52=4,$Q52=4,$R52=4,$S52=4,$T52=4)),INT($V52),"x")</f>
        <v>18</v>
      </c>
      <c r="AL52" s="63">
        <f>IF(AK52="x","",IF(AK52=SMALL($AK$22:$AK$76,1),AK52,""))</f>
        <v>18</v>
      </c>
      <c r="AM52" s="62" t="str">
        <f>IF(AND(COUNT($V52)=1,OR($O52=5,$P52=5,$Q52=5,$R52=5,$S52=5,$T52=5)),INT($V52),"x")</f>
        <v>x</v>
      </c>
      <c r="AN52" s="63">
        <f>IF(AM52="x","",IF(AM52=SMALL($AM$22:$AM$76,1),AM52,""))</f>
      </c>
      <c r="AO52" s="62" t="str">
        <f>IF(AND(COUNT($V52)=1,OR($O52=6,$P52=6,$Q52=6,$R52=6,$S52=6,$T52=6)),INT($V52),"x")</f>
        <v>x</v>
      </c>
      <c r="AP52" s="63">
        <f>IF(AO52="x","",IF(AO52=SMALL($AO$22:$AO$76,1),AO52,""))</f>
      </c>
      <c r="AQ52" s="64"/>
      <c r="AR52" s="32"/>
    </row>
    <row r="53" spans="1:44" ht="15" customHeight="1">
      <c r="A53" s="366"/>
      <c r="B53" s="32"/>
      <c r="C53" s="367"/>
      <c r="D53" s="32"/>
      <c r="E53" s="71">
        <f>IF(OR(COUNTIF(Z50:Z54,"w")=uitslagen!$H$49,MID(E50,1,1)="T"),2,IF(COUNTIF(Z50:Z54,"l")=uitslagen!$H$49,3,""))</f>
        <v>3</v>
      </c>
      <c r="G53" s="71">
        <f>IF(E50="","",E50)</f>
        <v>3</v>
      </c>
      <c r="H53" s="490"/>
      <c r="I53" s="490"/>
      <c r="J53" s="490"/>
      <c r="K53" s="490"/>
      <c r="L53" s="490"/>
      <c r="M53" s="491">
        <v>4</v>
      </c>
      <c r="N53" s="492"/>
      <c r="O53" s="12">
        <v>2</v>
      </c>
      <c r="P53" s="12">
        <v>1</v>
      </c>
      <c r="Q53" s="12">
        <v>3</v>
      </c>
      <c r="R53" s="12">
        <v>4</v>
      </c>
      <c r="S53" s="468"/>
      <c r="T53" s="469"/>
      <c r="U53" s="61">
        <f>IF(V53="","",IF(COUNT(O53:T53)&lt;&gt;4,"X",""))</f>
      </c>
      <c r="V53" s="480">
        <v>19</v>
      </c>
      <c r="W53" s="481"/>
      <c r="X53" s="481"/>
      <c r="Y53" s="61">
        <f>IF($V53="","",IF($R$3&gt;$V53,"X",""))</f>
      </c>
      <c r="Z53" s="12" t="s">
        <v>2994</v>
      </c>
      <c r="AA53" s="11">
        <f>IF(G53="","",IF(OR(AND(V53="",Z53&lt;&gt;""),AND(V53&lt;&gt;"",Z53=""),AND(V53="w",Z53&lt;&gt;"w"),AND(V53="nt",Z53="w"),VLOOKUP($C$3&amp;"-"&amp;G53,'DE4'!$S$10:$AM$24,M53+16,FALSE)="x"),"x",""))</f>
      </c>
      <c r="AB53" s="61"/>
      <c r="AC53" s="61"/>
      <c r="AE53" s="62">
        <f>IF(AND(COUNT($V53)=1,OR($O53=1,$P53=1,$Q53=1,$R53=1,$S53=1,$T53=1)),INT($V53),"x")</f>
        <v>19</v>
      </c>
      <c r="AF53" s="63">
        <f>IF(AE53="x","",IF(AE53=SMALL($AE$22:$AE$76,1),AE53,""))</f>
      </c>
      <c r="AG53" s="62">
        <f>IF(AND(COUNT($V53)=1,OR($O53=2,$P53=2,$Q53=2,$R53=2,$S53=2,$T53=2)),INT($V53),"x")</f>
        <v>19</v>
      </c>
      <c r="AH53" s="63">
        <f>IF(AG53="x","",IF(AG53=SMALL($AG$22:$AG$76,1),AG53,""))</f>
      </c>
      <c r="AI53" s="62">
        <f>IF(AND(COUNT($V53)=1,OR($O53=3,$P53=3,$Q53=3,$R53=3,$S53=3,$T53=3)),INT($V53),"x")</f>
        <v>19</v>
      </c>
      <c r="AJ53" s="63">
        <f>IF(AI53="x","",IF(AI53=SMALL($AI$22:$AI$76,1),AI53,""))</f>
      </c>
      <c r="AK53" s="62">
        <f>IF(AND(COUNT($V53)=1,OR($O53=4,$P53=4,$Q53=4,$R53=4,$S53=4,$T53=4)),INT($V53),"x")</f>
        <v>19</v>
      </c>
      <c r="AL53" s="63">
        <f>IF(AK53="x","",IF(AK53=SMALL($AK$22:$AK$76,1),AK53,""))</f>
      </c>
      <c r="AM53" s="62" t="str">
        <f>IF(AND(COUNT($V53)=1,OR($O53=5,$P53=5,$Q53=5,$R53=5,$S53=5,$T53=5)),INT($V53),"x")</f>
        <v>x</v>
      </c>
      <c r="AN53" s="63">
        <f>IF(AM53="x","",IF(AM53=SMALL($AM$22:$AM$76,1),AM53,""))</f>
      </c>
      <c r="AO53" s="62" t="str">
        <f>IF(AND(COUNT($V53)=1,OR($O53=6,$P53=6,$Q53=6,$R53=6,$S53=6,$T53=6)),INT($V53),"x")</f>
        <v>x</v>
      </c>
      <c r="AP53" s="63">
        <f>IF(AO53="x","",IF(AO53=SMALL($AO$22:$AO$76,1),AO53,""))</f>
      </c>
      <c r="AQ53" s="64"/>
      <c r="AR53" s="32"/>
    </row>
    <row r="54" spans="1:44" ht="15" customHeight="1">
      <c r="A54" s="366"/>
      <c r="B54" s="32"/>
      <c r="C54" s="367"/>
      <c r="D54" s="32"/>
      <c r="E54" s="74">
        <f>IF(E50=16,"FINALE",IF(E50=17,"FINALE  Herkansing",""))</f>
      </c>
      <c r="G54" s="71">
        <f>IF(E50="","",E50)</f>
        <v>3</v>
      </c>
      <c r="H54" s="490"/>
      <c r="I54" s="490"/>
      <c r="J54" s="490"/>
      <c r="K54" s="490"/>
      <c r="L54" s="490"/>
      <c r="M54" s="491">
        <v>5</v>
      </c>
      <c r="N54" s="492"/>
      <c r="O54" s="12">
        <v>2</v>
      </c>
      <c r="P54" s="12">
        <v>1</v>
      </c>
      <c r="Q54" s="12">
        <v>3</v>
      </c>
      <c r="R54" s="12">
        <v>4</v>
      </c>
      <c r="S54" s="468"/>
      <c r="T54" s="469"/>
      <c r="U54" s="61">
        <f>IF(V54="","",IF(COUNT(O54:T54)&lt;&gt;4,"X",""))</f>
      </c>
      <c r="V54" s="480" t="s">
        <v>2993</v>
      </c>
      <c r="W54" s="481"/>
      <c r="X54" s="481"/>
      <c r="Y54" s="61">
        <f>IF($V54="","",IF($R$3&gt;$V54,"X",""))</f>
      </c>
      <c r="Z54" s="12" t="s">
        <v>2994</v>
      </c>
      <c r="AA54" s="11">
        <f>IF(G54="","",IF(OR(AND(V54="",Z54&lt;&gt;""),AND(V54&lt;&gt;"",Z54=""),AND(V54="w",Z54&lt;&gt;"w"),AND(V54="nt",Z54="w"),VLOOKUP($C$3&amp;"-"&amp;G54,'DE4'!$S$10:$AM$24,M54+16,FALSE)="x"),"x",""))</f>
      </c>
      <c r="AB54" s="61"/>
      <c r="AC54" s="61"/>
      <c r="AE54" s="65" t="str">
        <f>IF(AND(COUNT($V54)=1,OR($O54=1,$P54=1,$Q54=1,$R54=1,$S54=1,$T54=1)),INT($V54),"x")</f>
        <v>x</v>
      </c>
      <c r="AF54" s="66">
        <f>IF(AE54="x","",IF(AE54=SMALL($AE$22:$AE$76,1),AE54,""))</f>
      </c>
      <c r="AG54" s="65" t="str">
        <f>IF(AND(COUNT($V54)=1,OR($O54=2,$P54=2,$Q54=2,$R54=2,$S54=2,$T54=2)),INT($V54),"x")</f>
        <v>x</v>
      </c>
      <c r="AH54" s="63">
        <f>IF(AG54="x","",IF(AG54=SMALL($AG$22:$AG$76,1),AG54,""))</f>
      </c>
      <c r="AI54" s="65" t="str">
        <f>IF(AND(COUNT($V54)=1,OR($O54=3,$P54=3,$Q54=3,$R54=3,$S54=3,$T54=3)),INT($V54),"x")</f>
        <v>x</v>
      </c>
      <c r="AJ54" s="63">
        <f>IF(AI54="x","",IF(AI54=SMALL($AI$22:$AI$76,1),AI54,""))</f>
      </c>
      <c r="AK54" s="65" t="str">
        <f>IF(AND(COUNT($V54)=1,OR($O54=4,$P54=4,$Q54=4,$R54=4,$S54=4,$T54=4)),INT($V54),"x")</f>
        <v>x</v>
      </c>
      <c r="AL54" s="63">
        <f>IF(AK54="x","",IF(AK54=SMALL($AK$22:$AK$76,1),AK54,""))</f>
      </c>
      <c r="AM54" s="65" t="str">
        <f>IF(AND(COUNT($V54)=1,OR($O54=5,$P54=5,$Q54=5,$R54=5,$S54=5,$T54=5)),INT($V54),"x")</f>
        <v>x</v>
      </c>
      <c r="AN54" s="63">
        <f>IF(AM54="x","",IF(AM54=SMALL($AM$22:$AM$76,1),AM54,""))</f>
      </c>
      <c r="AO54" s="65" t="str">
        <f>IF(AND(COUNT($V54)=1,OR($O54=6,$P54=6,$Q54=6,$R54=6,$S54=6,$T54=6)),INT($V54),"x")</f>
        <v>x</v>
      </c>
      <c r="AP54" s="63">
        <f>IF(AO54="x","",IF(AO54=SMALL($AO$22:$AO$76,1),AO54,""))</f>
      </c>
      <c r="AQ54" s="64"/>
      <c r="AR54" s="32"/>
    </row>
    <row r="55" spans="1:42" ht="3.75" customHeight="1">
      <c r="A55" s="366"/>
      <c r="B55" s="32"/>
      <c r="C55" s="367"/>
      <c r="E55" s="67"/>
      <c r="F55" s="67"/>
      <c r="G55" s="7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487"/>
      <c r="W55" s="487"/>
      <c r="X55" s="487"/>
      <c r="Y55" s="67"/>
      <c r="Z55" s="76"/>
      <c r="AA55" s="68"/>
      <c r="AB55" s="61"/>
      <c r="AC55" s="61"/>
      <c r="AE55" s="69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</row>
    <row r="56" spans="1:44" ht="15" customHeight="1">
      <c r="A56" s="366"/>
      <c r="B56" s="32"/>
      <c r="C56" s="367"/>
      <c r="D56" s="32"/>
      <c r="E56" s="55" t="str">
        <f>VLOOKUP("race",'[1]Strings'!$A$3:$K$102,'[1]Strings'!$A$1,FALSE)</f>
        <v>Rennen</v>
      </c>
      <c r="F56" s="55" t="str">
        <f>VLOOKUP("baan / piste",'[1]Strings'!$A$3:$K$102,'[1]Strings'!$A$1,FALSE)</f>
        <v>Bahn</v>
      </c>
      <c r="G56" s="55"/>
      <c r="H56" s="476" t="str">
        <f>VLOOKUP("tegen / contre",'[1]Strings'!$A$3:$K$102,'[1]Strings'!$A$1,FALSE)</f>
        <v>gegen</v>
      </c>
      <c r="I56" s="476"/>
      <c r="J56" s="476"/>
      <c r="K56" s="476"/>
      <c r="L56" s="477"/>
      <c r="M56" s="477" t="str">
        <f>VLOOKUP("heat",'[1]Strings'!$A$3:$K$102,'[1]Strings'!$A$1,FALSE)</f>
        <v>Lauf</v>
      </c>
      <c r="N56" s="477"/>
      <c r="O56" s="476" t="str">
        <f>VLOOKUP("Honden / chiens",'[1]Strings'!$A$3:$K$102,'[1]Strings'!$A$1,FALSE)</f>
        <v>Hunde</v>
      </c>
      <c r="P56" s="476"/>
      <c r="Q56" s="476"/>
      <c r="R56" s="476"/>
      <c r="S56" s="476"/>
      <c r="T56" s="476"/>
      <c r="U56" s="162" t="str">
        <f>VLOOKUP("          Tijd/temps",'[1]Strings'!$A$3:$K$102,'[1]Strings'!$A$1,FALSE)</f>
        <v>           Zeit</v>
      </c>
      <c r="V56" s="163"/>
      <c r="W56" s="163"/>
      <c r="X56" s="163"/>
      <c r="Y56" s="161" t="str">
        <f>VLOOKUP("    W / L / T",'[1]Strings'!$A$3:$K$102,'[1]Strings'!$A$1,FALSE)</f>
        <v>    W/L/T</v>
      </c>
      <c r="Z56" s="55"/>
      <c r="AA56" s="68"/>
      <c r="AB56" s="61"/>
      <c r="AC56" s="61"/>
      <c r="AD56" s="55"/>
      <c r="AE56" s="70"/>
      <c r="AF56" s="67"/>
      <c r="AG56" s="70"/>
      <c r="AH56" s="67"/>
      <c r="AI56" s="70"/>
      <c r="AJ56" s="67"/>
      <c r="AK56" s="70"/>
      <c r="AL56" s="67"/>
      <c r="AM56" s="70"/>
      <c r="AN56" s="67"/>
      <c r="AO56" s="70"/>
      <c r="AP56" s="67"/>
      <c r="AQ56" s="565"/>
      <c r="AR56" s="478"/>
    </row>
    <row r="57" spans="1:44" ht="15" customHeight="1">
      <c r="A57" s="366"/>
      <c r="B57" s="32"/>
      <c r="C57" s="367"/>
      <c r="D57" s="32"/>
      <c r="E57" s="488">
        <f>IF(OR(E53="",E50=""),"",VLOOKUP(E43&amp;"-"&amp;E50,'DE4'!$AX$10:$AZ$25,E53,FALSE))</f>
        <v>5</v>
      </c>
      <c r="F57" s="59" t="str">
        <f>IF(E57="","",IF(VLOOKUP($C$3&amp;"-"&amp;E57,'DE4'!$S$10:$AS$24,27,FALSE)="Rood",VLOOKUP("Rood / Rouge",'[1]Strings'!$A$3:$K$102,'[1]Strings'!$A$1,FALSE),""))</f>
        <v>Rot</v>
      </c>
      <c r="G57" s="71">
        <f>IF(E57="","",E57)</f>
        <v>5</v>
      </c>
      <c r="H57" s="478" t="str">
        <f>IF(E57="","",VLOOKUP($C$3&amp;"-"&amp;E57,'DE4'!$S$10:$AR$24,26,FALSE))</f>
        <v>BayernXpress I</v>
      </c>
      <c r="I57" s="478"/>
      <c r="J57" s="478"/>
      <c r="K57" s="478"/>
      <c r="L57" s="479"/>
      <c r="M57" s="491">
        <v>1</v>
      </c>
      <c r="N57" s="492"/>
      <c r="O57" s="12">
        <v>2</v>
      </c>
      <c r="P57" s="12">
        <v>1</v>
      </c>
      <c r="Q57" s="12">
        <v>3</v>
      </c>
      <c r="R57" s="12">
        <v>4</v>
      </c>
      <c r="S57" s="468"/>
      <c r="T57" s="469"/>
      <c r="U57" s="61">
        <f>IF(V57="","",IF(COUNT(O57:T57)&lt;&gt;4,"X",""))</f>
      </c>
      <c r="V57" s="480">
        <v>20.24</v>
      </c>
      <c r="W57" s="481"/>
      <c r="X57" s="481"/>
      <c r="Y57" s="61">
        <f>IF($V57="","",IF($R$3&gt;$V57,"X",""))</f>
      </c>
      <c r="Z57" s="12" t="s">
        <v>2994</v>
      </c>
      <c r="AA57" s="11">
        <f>IF(G57="","",IF(OR(AND(V57="",Z57&lt;&gt;""),AND(V57&lt;&gt;"",Z57=""),AND(V57="w",Z57&lt;&gt;"w"),AND(V57="nt",Z57="w"),VLOOKUP($C$3&amp;"-"&amp;G57,'DE4'!$S$10:$AM$24,M57+16,FALSE)="x"),"x",""))</f>
      </c>
      <c r="AB57" s="61"/>
      <c r="AC57" s="61"/>
      <c r="AE57" s="62">
        <f>IF(AND(COUNT($V57)=1,OR($O57=1,$P57=1,$Q57=1,$R57=1,$S57=1,$T57=1)),INT($V57),"x")</f>
        <v>20</v>
      </c>
      <c r="AF57" s="63">
        <f>IF(AE57="x","",IF(AE57=SMALL($AE$22:$AE$76,1),AE57,""))</f>
      </c>
      <c r="AG57" s="62">
        <f>IF(AND(COUNT($V57)=1,OR($O57=2,$P57=2,$Q57=2,$R57=2,$S57=2,$T57=2)),INT($V57),"x")</f>
        <v>20</v>
      </c>
      <c r="AH57" s="63">
        <f>IF(AG57="x","",IF(AG57=SMALL($AG$22:$AG$76,1),AG57,""))</f>
      </c>
      <c r="AI57" s="62">
        <f>IF(AND(COUNT($V57)=1,OR($O57=3,$P57=3,$Q57=3,$R57=3,$S57=3,$T57=3)),INT($V57),"x")</f>
        <v>20</v>
      </c>
      <c r="AJ57" s="63">
        <f>IF(AI57="x","",IF(AI57=SMALL($AI$22:$AI$76,1),AI57,""))</f>
      </c>
      <c r="AK57" s="62">
        <f>IF(AND(COUNT($V57)=1,OR($O57=4,$P57=4,$Q57=4,$R57=4,$S57=4,$T57=4)),INT($V57),"x")</f>
        <v>20</v>
      </c>
      <c r="AL57" s="63">
        <f>IF(AK57="x","",IF(AK57=SMALL($AK$22:$AK$76,1),AK57,""))</f>
      </c>
      <c r="AM57" s="62" t="str">
        <f>IF(AND(COUNT($V57)=1,OR($O57=5,$P57=5,$Q57=5,$R57=5,$S57=5,$T57=5)),INT($V57),"x")</f>
        <v>x</v>
      </c>
      <c r="AN57" s="63">
        <f>IF(AM57="x","",IF(AM57=SMALL($AM$22:$AM$76,1),AM57,""))</f>
      </c>
      <c r="AO57" s="62" t="str">
        <f>IF(AND(COUNT($V57)=1,OR($O57=6,$P57=6,$Q57=6,$R57=6,$S57=6,$T57=6)),INT($V57),"x")</f>
        <v>x</v>
      </c>
      <c r="AP57" s="63">
        <f>IF(AO57="x","",IF(AO57=SMALL($AO$22:$AO$76,1),AO57,""))</f>
      </c>
      <c r="AQ57" s="64"/>
      <c r="AR57" s="32"/>
    </row>
    <row r="58" spans="1:44" ht="15" customHeight="1">
      <c r="A58" s="366"/>
      <c r="B58" s="32"/>
      <c r="C58" s="367"/>
      <c r="D58" s="32"/>
      <c r="E58" s="489"/>
      <c r="F58" s="59">
        <f>IF(E57="","",IF(VLOOKUP($C$3&amp;"-"&amp;E57,'DE4'!$S$10:$AS$24,27,FALSE)="Blauw",VLOOKUP("Blauw / Bleu",'[1]Strings'!$A$3:$K$102,'[1]Strings'!$A$1,FALSE),""))</f>
      </c>
      <c r="G58" s="71">
        <f>IF(E57="","",E57)</f>
        <v>5</v>
      </c>
      <c r="H58" s="490">
        <f>IF(OR(U57="x",Y57="x",AA57="x"),"CONTROLEER INVOER       HEAT 1",IF(OR(U58="x",Y58="x",AA58="x"),"CONTROLEER INVOER       HEAT 2",IF(OR(U59="x",Y59="x",AA59="x"),"CONTROLEER INVOER       HEAT 3",IF(OR(U60="x",Y60="x",AA60="x"),"CONTROLEER INVOER       HEAT 4",IF(OR(U61="x",Y61="x",AA61="x"),"CONTROLEER INVOER       HEAT 5","")))))</f>
      </c>
      <c r="I58" s="490"/>
      <c r="J58" s="490"/>
      <c r="K58" s="490"/>
      <c r="L58" s="490"/>
      <c r="M58" s="491">
        <v>2</v>
      </c>
      <c r="N58" s="492"/>
      <c r="O58" s="12">
        <v>2</v>
      </c>
      <c r="P58" s="12">
        <v>1</v>
      </c>
      <c r="Q58" s="12">
        <v>3</v>
      </c>
      <c r="R58" s="12">
        <v>4</v>
      </c>
      <c r="S58" s="468"/>
      <c r="T58" s="469"/>
      <c r="U58" s="61">
        <f>IF(V58="","",IF(COUNT(O58:T58)&lt;&gt;4,"X",""))</f>
      </c>
      <c r="V58" s="480">
        <v>20.7</v>
      </c>
      <c r="W58" s="481"/>
      <c r="X58" s="481"/>
      <c r="Y58" s="61">
        <f>IF($V58="","",IF($R$3&gt;$V58,"X",""))</f>
      </c>
      <c r="Z58" s="12" t="s">
        <v>2992</v>
      </c>
      <c r="AA58" s="11">
        <f>IF(G58="","",IF(OR(AND(V58="",Z58&lt;&gt;""),AND(V58&lt;&gt;"",Z58=""),AND(V58="w",Z58&lt;&gt;"w"),AND(V58="nt",Z58="w"),VLOOKUP($C$3&amp;"-"&amp;G58,'DE4'!$S$10:$AM$24,M58+16,FALSE)="x"),"x",""))</f>
      </c>
      <c r="AB58" s="61"/>
      <c r="AC58" s="61"/>
      <c r="AE58" s="62">
        <f>IF(AND(COUNT($V58)=1,OR($O58=1,$P58=1,$Q58=1,$R58=1,$S58=1,$T58=1)),INT($V58),"x")</f>
        <v>20</v>
      </c>
      <c r="AF58" s="63">
        <f>IF(AE58="x","",IF(AE58=SMALL($AE$22:$AE$76,1),AE58,""))</f>
      </c>
      <c r="AG58" s="62">
        <f>IF(AND(COUNT($V58)=1,OR($O58=2,$P58=2,$Q58=2,$R58=2,$S58=2,$T58=2)),INT($V58),"x")</f>
        <v>20</v>
      </c>
      <c r="AH58" s="63">
        <f>IF(AG58="x","",IF(AG58=SMALL($AG$22:$AG$76,1),AG58,""))</f>
      </c>
      <c r="AI58" s="62">
        <f>IF(AND(COUNT($V58)=1,OR($O58=3,$P58=3,$Q58=3,$R58=3,$S58=3,$T58=3)),INT($V58),"x")</f>
        <v>20</v>
      </c>
      <c r="AJ58" s="63">
        <f>IF(AI58="x","",IF(AI58=SMALL($AI$22:$AI$76,1),AI58,""))</f>
      </c>
      <c r="AK58" s="62">
        <f>IF(AND(COUNT($V58)=1,OR($O58=4,$P58=4,$Q58=4,$R58=4,$S58=4,$T58=4)),INT($V58),"x")</f>
        <v>20</v>
      </c>
      <c r="AL58" s="63">
        <f>IF(AK58="x","",IF(AK58=SMALL($AK$22:$AK$76,1),AK58,""))</f>
      </c>
      <c r="AM58" s="62" t="str">
        <f>IF(AND(COUNT($V58)=1,OR($O58=5,$P58=5,$Q58=5,$R58=5,$S58=5,$T58=5)),INT($V58),"x")</f>
        <v>x</v>
      </c>
      <c r="AN58" s="63">
        <f>IF(AM58="x","",IF(AM58=SMALL($AM$22:$AM$76,1),AM58,""))</f>
      </c>
      <c r="AO58" s="62" t="str">
        <f>IF(AND(COUNT($V58)=1,OR($O58=6,$P58=6,$Q58=6,$R58=6,$S58=6,$T58=6)),INT($V58),"x")</f>
        <v>x</v>
      </c>
      <c r="AP58" s="63">
        <f>IF(AO58="x","",IF(AO58=SMALL($AO$22:$AO$76,1),AO58,""))</f>
      </c>
      <c r="AQ58" s="64"/>
      <c r="AR58" s="32"/>
    </row>
    <row r="59" spans="1:44" ht="15" customHeight="1">
      <c r="A59" s="366"/>
      <c r="B59" s="32"/>
      <c r="C59" s="367"/>
      <c r="D59" s="32"/>
      <c r="E59" s="2" t="str">
        <f>IF(E57="","",uitslagen!$B$49)</f>
        <v>DE</v>
      </c>
      <c r="F59" s="71"/>
      <c r="G59" s="71">
        <f>IF(E57="","",E57)</f>
        <v>5</v>
      </c>
      <c r="H59" s="490"/>
      <c r="I59" s="490"/>
      <c r="J59" s="490"/>
      <c r="K59" s="490"/>
      <c r="L59" s="490"/>
      <c r="M59" s="491">
        <v>3</v>
      </c>
      <c r="N59" s="492"/>
      <c r="O59" s="12">
        <v>2</v>
      </c>
      <c r="P59" s="12">
        <v>1</v>
      </c>
      <c r="Q59" s="12">
        <v>3</v>
      </c>
      <c r="R59" s="12">
        <v>4</v>
      </c>
      <c r="S59" s="468"/>
      <c r="T59" s="469"/>
      <c r="U59" s="61">
        <f>IF(V59="","",IF(COUNT(O59:T59)&lt;&gt;4,"X",""))</f>
      </c>
      <c r="V59" s="480">
        <v>19.68</v>
      </c>
      <c r="W59" s="481"/>
      <c r="X59" s="481"/>
      <c r="Y59" s="61">
        <f>IF($V59="","",IF($R$3&gt;$V59,"X",""))</f>
      </c>
      <c r="Z59" s="12" t="s">
        <v>2992</v>
      </c>
      <c r="AA59" s="11">
        <f>IF(G59="","",IF(OR(AND(V59="",Z59&lt;&gt;""),AND(V59&lt;&gt;"",Z59=""),AND(V59="w",Z59&lt;&gt;"w"),AND(V59="nt",Z59="w"),VLOOKUP($C$3&amp;"-"&amp;G59,'DE4'!$S$10:$AM$24,M59+16,FALSE)="x"),"x",""))</f>
      </c>
      <c r="AB59" s="61"/>
      <c r="AC59" s="61"/>
      <c r="AE59" s="62">
        <f>IF(AND(COUNT($V59)=1,OR($O59=1,$P59=1,$Q59=1,$R59=1,$S59=1,$T59=1)),INT($V59),"x")</f>
        <v>19</v>
      </c>
      <c r="AF59" s="63">
        <f>IF(AE59="x","",IF(AE59=SMALL($AE$22:$AE$76,1),AE59,""))</f>
      </c>
      <c r="AG59" s="62">
        <f>IF(AND(COUNT($V59)=1,OR($O59=2,$P59=2,$Q59=2,$R59=2,$S59=2,$T59=2)),INT($V59),"x")</f>
        <v>19</v>
      </c>
      <c r="AH59" s="63">
        <f>IF(AG59="x","",IF(AG59=SMALL($AG$22:$AG$76,1),AG59,""))</f>
      </c>
      <c r="AI59" s="62">
        <f>IF(AND(COUNT($V59)=1,OR($O59=3,$P59=3,$Q59=3,$R59=3,$S59=3,$T59=3)),INT($V59),"x")</f>
        <v>19</v>
      </c>
      <c r="AJ59" s="63">
        <f>IF(AI59="x","",IF(AI59=SMALL($AI$22:$AI$76,1),AI59,""))</f>
      </c>
      <c r="AK59" s="62">
        <f>IF(AND(COUNT($V59)=1,OR($O59=4,$P59=4,$Q59=4,$R59=4,$S59=4,$T59=4)),INT($V59),"x")</f>
        <v>19</v>
      </c>
      <c r="AL59" s="63">
        <f>IF(AK59="x","",IF(AK59=SMALL($AK$22:$AK$76,1),AK59,""))</f>
      </c>
      <c r="AM59" s="62" t="str">
        <f>IF(AND(COUNT($V59)=1,OR($O59=5,$P59=5,$Q59=5,$R59=5,$S59=5,$T59=5)),INT($V59),"x")</f>
        <v>x</v>
      </c>
      <c r="AN59" s="63">
        <f>IF(AM59="x","",IF(AM59=SMALL($AM$22:$AM$76,1),AM59,""))</f>
      </c>
      <c r="AO59" s="62" t="str">
        <f>IF(AND(COUNT($V59)=1,OR($O59=6,$P59=6,$Q59=6,$R59=6,$S59=6,$T59=6)),INT($V59),"x")</f>
        <v>x</v>
      </c>
      <c r="AP59" s="63">
        <f>IF(AO59="x","",IF(AO59=SMALL($AO$22:$AO$76,1),AO59,""))</f>
      </c>
      <c r="AQ59" s="64"/>
      <c r="AR59" s="32"/>
    </row>
    <row r="60" spans="1:44" ht="15" customHeight="1">
      <c r="A60" s="366"/>
      <c r="B60" s="32"/>
      <c r="C60" s="367"/>
      <c r="D60" s="32"/>
      <c r="E60" s="71">
        <f>IF(OR(COUNTIF(Z57:Z61,"w")=uitslagen!$H$49,MID(E57,1,1)="T"),2,IF(COUNTIF(Z57:Z61,"l")=uitslagen!$H$49,3,""))</f>
        <v>3</v>
      </c>
      <c r="G60" s="71">
        <f>IF(E57="","",E57)</f>
        <v>5</v>
      </c>
      <c r="H60" s="490"/>
      <c r="I60" s="490"/>
      <c r="J60" s="490"/>
      <c r="K60" s="490"/>
      <c r="L60" s="490"/>
      <c r="M60" s="491">
        <v>4</v>
      </c>
      <c r="N60" s="492"/>
      <c r="O60" s="12">
        <v>2</v>
      </c>
      <c r="P60" s="12">
        <v>1</v>
      </c>
      <c r="Q60" s="12">
        <v>3</v>
      </c>
      <c r="R60" s="12">
        <v>4</v>
      </c>
      <c r="S60" s="468"/>
      <c r="T60" s="469"/>
      <c r="U60" s="61">
        <f>IF(V60="","",IF(COUNT(O60:T60)&lt;&gt;4,"X",""))</f>
      </c>
      <c r="V60" s="480">
        <v>32.7</v>
      </c>
      <c r="W60" s="481"/>
      <c r="X60" s="481"/>
      <c r="Y60" s="61">
        <f>IF($V60="","",IF($R$3&gt;$V60,"X",""))</f>
      </c>
      <c r="Z60" s="12" t="s">
        <v>2994</v>
      </c>
      <c r="AA60" s="11">
        <f>IF(G60="","",IF(OR(AND(V60="",Z60&lt;&gt;""),AND(V60&lt;&gt;"",Z60=""),AND(V60="w",Z60&lt;&gt;"w"),AND(V60="nt",Z60="w"),VLOOKUP($C$3&amp;"-"&amp;G60,'DE4'!$S$10:$AM$24,M60+16,FALSE)="x"),"x",""))</f>
      </c>
      <c r="AB60" s="61"/>
      <c r="AC60" s="61"/>
      <c r="AE60" s="62">
        <f>IF(AND(COUNT($V60)=1,OR($O60=1,$P60=1,$Q60=1,$R60=1,$S60=1,$T60=1)),INT($V60),"x")</f>
        <v>32</v>
      </c>
      <c r="AF60" s="63">
        <f>IF(AE60="x","",IF(AE60=SMALL($AE$22:$AE$76,1),AE60,""))</f>
      </c>
      <c r="AG60" s="62">
        <f>IF(AND(COUNT($V60)=1,OR($O60=2,$P60=2,$Q60=2,$R60=2,$S60=2,$T60=2)),INT($V60),"x")</f>
        <v>32</v>
      </c>
      <c r="AH60" s="63">
        <f>IF(AG60="x","",IF(AG60=SMALL($AG$22:$AG$76,1),AG60,""))</f>
      </c>
      <c r="AI60" s="62">
        <f>IF(AND(COUNT($V60)=1,OR($O60=3,$P60=3,$Q60=3,$R60=3,$S60=3,$T60=3)),INT($V60),"x")</f>
        <v>32</v>
      </c>
      <c r="AJ60" s="63">
        <f>IF(AI60="x","",IF(AI60=SMALL($AI$22:$AI$76,1),AI60,""))</f>
      </c>
      <c r="AK60" s="62">
        <f>IF(AND(COUNT($V60)=1,OR($O60=4,$P60=4,$Q60=4,$R60=4,$S60=4,$T60=4)),INT($V60),"x")</f>
        <v>32</v>
      </c>
      <c r="AL60" s="63">
        <f>IF(AK60="x","",IF(AK60=SMALL($AK$22:$AK$76,1),AK60,""))</f>
      </c>
      <c r="AM60" s="62" t="str">
        <f>IF(AND(COUNT($V60)=1,OR($O60=5,$P60=5,$Q60=5,$R60=5,$S60=5,$T60=5)),INT($V60),"x")</f>
        <v>x</v>
      </c>
      <c r="AN60" s="63">
        <f>IF(AM60="x","",IF(AM60=SMALL($AM$22:$AM$76,1),AM60,""))</f>
      </c>
      <c r="AO60" s="62" t="str">
        <f>IF(AND(COUNT($V60)=1,OR($O60=6,$P60=6,$Q60=6,$R60=6,$S60=6,$T60=6)),INT($V60),"x")</f>
        <v>x</v>
      </c>
      <c r="AP60" s="63">
        <f>IF(AO60="x","",IF(AO60=SMALL($AO$22:$AO$76,1),AO60,""))</f>
      </c>
      <c r="AQ60" s="64"/>
      <c r="AR60" s="32"/>
    </row>
    <row r="61" spans="1:44" ht="15" customHeight="1">
      <c r="A61" s="366"/>
      <c r="B61" s="32"/>
      <c r="C61" s="367"/>
      <c r="D61" s="32"/>
      <c r="E61" s="74">
        <f>IF(E57=6,"FINALE",IF(E57=7,"FINALE  Herkansing",""))</f>
      </c>
      <c r="G61" s="71">
        <f>IF(E57="","",E57)</f>
        <v>5</v>
      </c>
      <c r="H61" s="490"/>
      <c r="I61" s="490"/>
      <c r="J61" s="490"/>
      <c r="K61" s="490"/>
      <c r="L61" s="490"/>
      <c r="M61" s="491">
        <v>5</v>
      </c>
      <c r="N61" s="492"/>
      <c r="O61" s="12">
        <v>2</v>
      </c>
      <c r="P61" s="12">
        <v>1</v>
      </c>
      <c r="Q61" s="12">
        <v>3</v>
      </c>
      <c r="R61" s="12">
        <v>4</v>
      </c>
      <c r="S61" s="468"/>
      <c r="T61" s="469"/>
      <c r="U61" s="61">
        <f>IF(V61="","",IF(COUNT(O61:T61)&lt;&gt;4,"X",""))</f>
      </c>
      <c r="V61" s="480" t="s">
        <v>2993</v>
      </c>
      <c r="W61" s="481"/>
      <c r="X61" s="481"/>
      <c r="Y61" s="61">
        <f>IF($V61="","",IF($R$3&gt;$V61,"X",""))</f>
      </c>
      <c r="Z61" s="12" t="s">
        <v>2994</v>
      </c>
      <c r="AA61" s="11">
        <f>IF(G61="","",IF(OR(AND(V61="",Z61&lt;&gt;""),AND(V61&lt;&gt;"",Z61=""),AND(V61="w",Z61&lt;&gt;"w"),AND(V61="nt",Z61="w"),VLOOKUP($C$3&amp;"-"&amp;G61,'DE4'!$S$10:$AM$24,M61+16,FALSE)="x"),"x",""))</f>
      </c>
      <c r="AB61" s="61"/>
      <c r="AC61" s="61"/>
      <c r="AE61" s="65" t="str">
        <f>IF(AND(COUNT($V61)=1,OR($O61=1,$P61=1,$Q61=1,$R61=1,$S61=1,$T61=1)),INT($V61),"x")</f>
        <v>x</v>
      </c>
      <c r="AF61" s="66">
        <f>IF(AE61="x","",IF(AE61=SMALL($AE$22:$AE$76,1),AE61,""))</f>
      </c>
      <c r="AG61" s="65" t="str">
        <f>IF(AND(COUNT($V61)=1,OR($O61=2,$P61=2,$Q61=2,$R61=2,$S61=2,$T61=2)),INT($V61),"x")</f>
        <v>x</v>
      </c>
      <c r="AH61" s="63">
        <f>IF(AG61="x","",IF(AG61=SMALL($AG$22:$AG$76,1),AG61,""))</f>
      </c>
      <c r="AI61" s="65" t="str">
        <f>IF(AND(COUNT($V61)=1,OR($O61=3,$P61=3,$Q61=3,$R61=3,$S61=3,$T61=3)),INT($V61),"x")</f>
        <v>x</v>
      </c>
      <c r="AJ61" s="63">
        <f>IF(AI61="x","",IF(AI61=SMALL($AI$22:$AI$76,1),AI61,""))</f>
      </c>
      <c r="AK61" s="65" t="str">
        <f>IF(AND(COUNT($V61)=1,OR($O61=4,$P61=4,$Q61=4,$R61=4,$S61=4,$T61=4)),INT($V61),"x")</f>
        <v>x</v>
      </c>
      <c r="AL61" s="63">
        <f>IF(AK61="x","",IF(AK61=SMALL($AK$22:$AK$76,1),AK61,""))</f>
      </c>
      <c r="AM61" s="65" t="str">
        <f>IF(AND(COUNT($V61)=1,OR($O61=5,$P61=5,$Q61=5,$R61=5,$S61=5,$T61=5)),INT($V61),"x")</f>
        <v>x</v>
      </c>
      <c r="AN61" s="63">
        <f>IF(AM61="x","",IF(AM61=SMALL($AM$22:$AM$76,1),AM61,""))</f>
      </c>
      <c r="AO61" s="65" t="str">
        <f>IF(AND(COUNT($V61)=1,OR($O61=6,$P61=6,$Q61=6,$R61=6,$S61=6,$T61=6)),INT($V61),"x")</f>
        <v>x</v>
      </c>
      <c r="AP61" s="63">
        <f>IF(AO61="x","",IF(AO61=SMALL($AO$22:$AO$76,1),AO61,""))</f>
      </c>
      <c r="AQ61" s="64"/>
      <c r="AR61" s="32"/>
    </row>
    <row r="62" spans="1:42" ht="3.75" customHeight="1">
      <c r="A62" s="366"/>
      <c r="B62" s="32"/>
      <c r="C62" s="367"/>
      <c r="E62" s="67"/>
      <c r="F62" s="67"/>
      <c r="G62" s="73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487"/>
      <c r="W62" s="487"/>
      <c r="X62" s="487"/>
      <c r="Y62" s="67"/>
      <c r="Z62" s="76"/>
      <c r="AA62" s="68"/>
      <c r="AB62" s="61"/>
      <c r="AC62" s="61"/>
      <c r="AE62" s="69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</row>
    <row r="63" spans="1:44" ht="15" customHeight="1">
      <c r="A63" s="366"/>
      <c r="B63" s="32"/>
      <c r="C63" s="367"/>
      <c r="D63" s="32"/>
      <c r="E63" s="55" t="str">
        <f>VLOOKUP("race",'[1]Strings'!$A$3:$K$102,'[1]Strings'!$A$1,FALSE)</f>
        <v>Rennen</v>
      </c>
      <c r="F63" s="55" t="str">
        <f>VLOOKUP("baan / piste",'[1]Strings'!$A$3:$K$102,'[1]Strings'!$A$1,FALSE)</f>
        <v>Bahn</v>
      </c>
      <c r="G63" s="55"/>
      <c r="H63" s="476" t="str">
        <f>VLOOKUP("tegen / contre",'[1]Strings'!$A$3:$K$102,'[1]Strings'!$A$1,FALSE)</f>
        <v>gegen</v>
      </c>
      <c r="I63" s="476"/>
      <c r="J63" s="476"/>
      <c r="K63" s="476"/>
      <c r="L63" s="477"/>
      <c r="M63" s="477" t="str">
        <f>VLOOKUP("heat",'[1]Strings'!$A$3:$K$102,'[1]Strings'!$A$1,FALSE)</f>
        <v>Lauf</v>
      </c>
      <c r="N63" s="477"/>
      <c r="O63" s="476" t="str">
        <f>VLOOKUP("Honden / chiens",'[1]Strings'!$A$3:$K$102,'[1]Strings'!$A$1,FALSE)</f>
        <v>Hunde</v>
      </c>
      <c r="P63" s="476"/>
      <c r="Q63" s="476"/>
      <c r="R63" s="476"/>
      <c r="S63" s="476"/>
      <c r="T63" s="476"/>
      <c r="U63" s="162" t="str">
        <f>VLOOKUP("          Tijd/temps",'[1]Strings'!$A$3:$K$102,'[1]Strings'!$A$1,FALSE)</f>
        <v>           Zeit</v>
      </c>
      <c r="V63" s="163"/>
      <c r="W63" s="163"/>
      <c r="X63" s="163"/>
      <c r="Y63" s="161" t="str">
        <f>VLOOKUP("    W / L / T",'[1]Strings'!$A$3:$K$102,'[1]Strings'!$A$1,FALSE)</f>
        <v>    W/L/T</v>
      </c>
      <c r="Z63" s="55"/>
      <c r="AA63" s="68"/>
      <c r="AB63" s="61"/>
      <c r="AC63" s="61"/>
      <c r="AD63" s="55"/>
      <c r="AE63" s="70"/>
      <c r="AF63" s="67"/>
      <c r="AG63" s="70"/>
      <c r="AH63" s="67"/>
      <c r="AI63" s="70"/>
      <c r="AJ63" s="67"/>
      <c r="AK63" s="70"/>
      <c r="AL63" s="67"/>
      <c r="AM63" s="70"/>
      <c r="AN63" s="67"/>
      <c r="AO63" s="70"/>
      <c r="AP63" s="67"/>
      <c r="AQ63" s="565"/>
      <c r="AR63" s="478"/>
    </row>
    <row r="64" spans="1:44" ht="15" customHeight="1">
      <c r="A64" s="366"/>
      <c r="B64" s="32"/>
      <c r="C64" s="367"/>
      <c r="D64" s="32"/>
      <c r="E64" s="488">
        <f>IF(OR(E60="",E57=""),"",VLOOKUP(E50&amp;"-"&amp;E57,'DE4'!$AX$10:$AZ$25,E60,FALSE))</f>
      </c>
      <c r="F64" s="59">
        <f>IF(E64="","",IF(VLOOKUP($C$3&amp;"-"&amp;E64,'DE4'!$S$10:$AS$24,27,FALSE)="Rood",VLOOKUP("Rood / Rouge",'[1]Strings'!$A$3:$K$102,'[1]Strings'!$A$1,FALSE),""))</f>
      </c>
      <c r="G64" s="71">
        <f>IF(E64="","",E64)</f>
      </c>
      <c r="H64" s="478">
        <f>IF(E64="","",VLOOKUP($C$3&amp;"-"&amp;E64,'DE4'!$S$10:$AR$24,26,FALSE))</f>
      </c>
      <c r="I64" s="478"/>
      <c r="J64" s="478"/>
      <c r="K64" s="478"/>
      <c r="L64" s="479"/>
      <c r="M64" s="491">
        <v>1</v>
      </c>
      <c r="N64" s="492"/>
      <c r="O64" s="12"/>
      <c r="P64" s="12"/>
      <c r="Q64" s="12"/>
      <c r="R64" s="12"/>
      <c r="S64" s="468"/>
      <c r="T64" s="469"/>
      <c r="U64" s="61">
        <f>IF(V64="","",IF(COUNT(O64:T64)&lt;&gt;4,"X",""))</f>
      </c>
      <c r="V64" s="480"/>
      <c r="W64" s="481"/>
      <c r="X64" s="481"/>
      <c r="Y64" s="61">
        <f>IF($V64="","",IF($R$3&gt;$V64,"X",""))</f>
      </c>
      <c r="Z64" s="12"/>
      <c r="AA64" s="11">
        <f>IF(G64="","",IF(OR(AND(V64="",Z64&lt;&gt;""),AND(V64&lt;&gt;"",Z64=""),AND(V64="w",Z64&lt;&gt;"w"),AND(V64="nt",Z64="w"),VLOOKUP($C$3&amp;"-"&amp;G64,'DE4'!$S$10:$AM$24,M64+16,FALSE)="x"),"x",""))</f>
      </c>
      <c r="AB64" s="61"/>
      <c r="AC64" s="61"/>
      <c r="AE64" s="62" t="str">
        <f>IF(AND(COUNT($V64)=1,OR($O64=1,$P64=1,$Q64=1,$R64=1,$S64=1,$T64=1)),INT($V64),"x")</f>
        <v>x</v>
      </c>
      <c r="AF64" s="63">
        <f>IF(AE64="x","",IF(AE64=SMALL($AE$22:$AE$76,1),AE64,""))</f>
      </c>
      <c r="AG64" s="62" t="str">
        <f>IF(AND(COUNT($V64)=1,OR($O64=2,$P64=2,$Q64=2,$R64=2,$S64=2,$T64=2)),INT($V64),"x")</f>
        <v>x</v>
      </c>
      <c r="AH64" s="63">
        <f>IF(AG64="x","",IF(AG64=SMALL($AG$22:$AG$76,1),AG64,""))</f>
      </c>
      <c r="AI64" s="62" t="str">
        <f>IF(AND(COUNT($V64)=1,OR($O64=3,$P64=3,$Q64=3,$R64=3,$S64=3,$T64=3)),INT($V64),"x")</f>
        <v>x</v>
      </c>
      <c r="AJ64" s="63">
        <f>IF(AI64="x","",IF(AI64=SMALL($AI$22:$AI$76,1),AI64,""))</f>
      </c>
      <c r="AK64" s="62" t="str">
        <f>IF(AND(COUNT($V64)=1,OR($O64=4,$P64=4,$Q64=4,$R64=4,$S64=4,$T64=4)),INT($V64),"x")</f>
        <v>x</v>
      </c>
      <c r="AL64" s="63">
        <f>IF(AK64="x","",IF(AK64=SMALL($AK$22:$AK$76,1),AK64,""))</f>
      </c>
      <c r="AM64" s="62" t="str">
        <f>IF(AND(COUNT($V64)=1,OR($O64=5,$P64=5,$Q64=5,$R64=5,$S64=5,$T64=5)),INT($V64),"x")</f>
        <v>x</v>
      </c>
      <c r="AN64" s="63">
        <f>IF(AM64="x","",IF(AM64=SMALL($AM$22:$AM$76,1),AM64,""))</f>
      </c>
      <c r="AO64" s="62" t="str">
        <f>IF(AND(COUNT($V64)=1,OR($O64=6,$P64=6,$Q64=6,$R64=6,$S64=6,$T64=6)),INT($V64),"x")</f>
        <v>x</v>
      </c>
      <c r="AP64" s="63">
        <f>IF(AO64="x","",IF(AO64=SMALL($AO$22:$AO$76,1),AO64,""))</f>
      </c>
      <c r="AQ64" s="64"/>
      <c r="AR64" s="32"/>
    </row>
    <row r="65" spans="1:44" ht="15" customHeight="1">
      <c r="A65" s="366"/>
      <c r="B65" s="32"/>
      <c r="C65" s="367"/>
      <c r="D65" s="32"/>
      <c r="E65" s="489"/>
      <c r="F65" s="59">
        <f>IF(E64="","",IF(VLOOKUP($C$3&amp;"-"&amp;E64,'DE4'!$S$10:$AS$24,27,FALSE)="Blauw",VLOOKUP("Blauw / Bleu",'[1]Strings'!$A$3:$K$102,'[1]Strings'!$A$1,FALSE),""))</f>
      </c>
      <c r="G65" s="71">
        <f>IF(E64="","",E64)</f>
      </c>
      <c r="H65" s="490">
        <f>IF(OR(U64="x",Y64="x",AA64="x"),"CONTROLEER INVOER       HEAT 1",IF(OR(U65="x",Y65="x",AA65="x"),"CONTROLEER INVOER       HEAT 2",IF(OR(U66="x",Y66="x",AA66="x"),"CONTROLEER INVOER       HEAT 3",IF(OR(U67="x",Y67="x",AA67="x"),"CONTROLEER INVOER       HEAT 4",IF(OR(U68="x",Y68="x",AA68="x"),"CONTROLEER INVOER       HEAT 5","")))))</f>
      </c>
      <c r="I65" s="490"/>
      <c r="J65" s="490"/>
      <c r="K65" s="490"/>
      <c r="L65" s="490"/>
      <c r="M65" s="491">
        <v>2</v>
      </c>
      <c r="N65" s="492"/>
      <c r="O65" s="12"/>
      <c r="P65" s="12"/>
      <c r="Q65" s="12"/>
      <c r="R65" s="12"/>
      <c r="S65" s="468"/>
      <c r="T65" s="469"/>
      <c r="U65" s="61">
        <f>IF(V65="","",IF(COUNT(O65:T65)&lt;&gt;4,"X",""))</f>
      </c>
      <c r="V65" s="480"/>
      <c r="W65" s="481"/>
      <c r="X65" s="481"/>
      <c r="Y65" s="61">
        <f>IF($V65="","",IF($R$3&gt;$V65,"X",""))</f>
      </c>
      <c r="Z65" s="12"/>
      <c r="AA65" s="11">
        <f>IF(G65="","",IF(OR(AND(V65="",Z65&lt;&gt;""),AND(V65&lt;&gt;"",Z65=""),AND(V65="w",Z65&lt;&gt;"w"),AND(V65="nt",Z65="w"),VLOOKUP($C$3&amp;"-"&amp;G65,'DE4'!$S$10:$AM$24,M65+16,FALSE)="x"),"x",""))</f>
      </c>
      <c r="AB65" s="61"/>
      <c r="AC65" s="61"/>
      <c r="AE65" s="62" t="str">
        <f>IF(AND(COUNT($V65)=1,OR($O65=1,$P65=1,$Q65=1,$R65=1,$S65=1,$T65=1)),INT($V65),"x")</f>
        <v>x</v>
      </c>
      <c r="AF65" s="63">
        <f>IF(AE65="x","",IF(AE65=SMALL($AE$22:$AE$76,1),AE65,""))</f>
      </c>
      <c r="AG65" s="62" t="str">
        <f>IF(AND(COUNT($V65)=1,OR($O65=2,$P65=2,$Q65=2,$R65=2,$S65=2,$T65=2)),INT($V65),"x")</f>
        <v>x</v>
      </c>
      <c r="AH65" s="63">
        <f>IF(AG65="x","",IF(AG65=SMALL($AG$22:$AG$76,1),AG65,""))</f>
      </c>
      <c r="AI65" s="62" t="str">
        <f>IF(AND(COUNT($V65)=1,OR($O65=3,$P65=3,$Q65=3,$R65=3,$S65=3,$T65=3)),INT($V65),"x")</f>
        <v>x</v>
      </c>
      <c r="AJ65" s="63">
        <f>IF(AI65="x","",IF(AI65=SMALL($AI$22:$AI$76,1),AI65,""))</f>
      </c>
      <c r="AK65" s="62" t="str">
        <f>IF(AND(COUNT($V65)=1,OR($O65=4,$P65=4,$Q65=4,$R65=4,$S65=4,$T65=4)),INT($V65),"x")</f>
        <v>x</v>
      </c>
      <c r="AL65" s="63">
        <f>IF(AK65="x","",IF(AK65=SMALL($AK$22:$AK$76,1),AK65,""))</f>
      </c>
      <c r="AM65" s="62" t="str">
        <f>IF(AND(COUNT($V65)=1,OR($O65=5,$P65=5,$Q65=5,$R65=5,$S65=5,$T65=5)),INT($V65),"x")</f>
        <v>x</v>
      </c>
      <c r="AN65" s="63">
        <f>IF(AM65="x","",IF(AM65=SMALL($AM$22:$AM$76,1),AM65,""))</f>
      </c>
      <c r="AO65" s="62" t="str">
        <f>IF(AND(COUNT($V65)=1,OR($O65=6,$P65=6,$Q65=6,$R65=6,$S65=6,$T65=6)),INT($V65),"x")</f>
        <v>x</v>
      </c>
      <c r="AP65" s="63">
        <f>IF(AO65="x","",IF(AO65=SMALL($AO$22:$AO$76,1),AO65,""))</f>
      </c>
      <c r="AQ65" s="64"/>
      <c r="AR65" s="32"/>
    </row>
    <row r="66" spans="1:44" ht="15" customHeight="1">
      <c r="A66" s="366"/>
      <c r="B66" s="32"/>
      <c r="C66" s="367"/>
      <c r="D66" s="32"/>
      <c r="E66" s="2">
        <f>IF(E64="","",uitslagen!$B$49)</f>
      </c>
      <c r="F66" s="71"/>
      <c r="G66" s="71">
        <f>IF(E64="","",E64)</f>
      </c>
      <c r="H66" s="490"/>
      <c r="I66" s="490"/>
      <c r="J66" s="490"/>
      <c r="K66" s="490"/>
      <c r="L66" s="490"/>
      <c r="M66" s="491">
        <v>3</v>
      </c>
      <c r="N66" s="492"/>
      <c r="O66" s="12"/>
      <c r="P66" s="12"/>
      <c r="Q66" s="12"/>
      <c r="R66" s="12"/>
      <c r="S66" s="468"/>
      <c r="T66" s="469"/>
      <c r="U66" s="61">
        <f>IF(V66="","",IF(COUNT(O66:T66)&lt;&gt;4,"X",""))</f>
      </c>
      <c r="V66" s="480"/>
      <c r="W66" s="481"/>
      <c r="X66" s="481"/>
      <c r="Y66" s="61">
        <f>IF($V66="","",IF($R$3&gt;$V66,"X",""))</f>
      </c>
      <c r="Z66" s="12"/>
      <c r="AA66" s="11">
        <f>IF(G66="","",IF(OR(AND(V66="",Z66&lt;&gt;""),AND(V66&lt;&gt;"",Z66=""),AND(V66="w",Z66&lt;&gt;"w"),AND(V66="nt",Z66="w"),VLOOKUP($C$3&amp;"-"&amp;G66,'DE4'!$S$10:$AM$24,M66+16,FALSE)="x"),"x",""))</f>
      </c>
      <c r="AB66" s="61"/>
      <c r="AC66" s="61"/>
      <c r="AE66" s="62" t="str">
        <f>IF(AND(COUNT($V66)=1,OR($O66=1,$P66=1,$Q66=1,$R66=1,$S66=1,$T66=1)),INT($V66),"x")</f>
        <v>x</v>
      </c>
      <c r="AF66" s="63">
        <f>IF(AE66="x","",IF(AE66=SMALL($AE$22:$AE$76,1),AE66,""))</f>
      </c>
      <c r="AG66" s="62" t="str">
        <f>IF(AND(COUNT($V66)=1,OR($O66=2,$P66=2,$Q66=2,$R66=2,$S66=2,$T66=2)),INT($V66),"x")</f>
        <v>x</v>
      </c>
      <c r="AH66" s="63">
        <f>IF(AG66="x","",IF(AG66=SMALL($AG$22:$AG$76,1),AG66,""))</f>
      </c>
      <c r="AI66" s="62" t="str">
        <f>IF(AND(COUNT($V66)=1,OR($O66=3,$P66=3,$Q66=3,$R66=3,$S66=3,$T66=3)),INT($V66),"x")</f>
        <v>x</v>
      </c>
      <c r="AJ66" s="63">
        <f>IF(AI66="x","",IF(AI66=SMALL($AI$22:$AI$76,1),AI66,""))</f>
      </c>
      <c r="AK66" s="62" t="str">
        <f>IF(AND(COUNT($V66)=1,OR($O66=4,$P66=4,$Q66=4,$R66=4,$S66=4,$T66=4)),INT($V66),"x")</f>
        <v>x</v>
      </c>
      <c r="AL66" s="63">
        <f>IF(AK66="x","",IF(AK66=SMALL($AK$22:$AK$76,1),AK66,""))</f>
      </c>
      <c r="AM66" s="62" t="str">
        <f>IF(AND(COUNT($V66)=1,OR($O66=5,$P66=5,$Q66=5,$R66=5,$S66=5,$T66=5)),INT($V66),"x")</f>
        <v>x</v>
      </c>
      <c r="AN66" s="63">
        <f>IF(AM66="x","",IF(AM66=SMALL($AM$22:$AM$76,1),AM66,""))</f>
      </c>
      <c r="AO66" s="62" t="str">
        <f>IF(AND(COUNT($V66)=1,OR($O66=6,$P66=6,$Q66=6,$R66=6,$S66=6,$T66=6)),INT($V66),"x")</f>
        <v>x</v>
      </c>
      <c r="AP66" s="63">
        <f>IF(AO66="x","",IF(AO66=SMALL($AO$22:$AO$76,1),AO66,""))</f>
      </c>
      <c r="AQ66" s="64"/>
      <c r="AR66" s="32"/>
    </row>
    <row r="67" spans="1:44" ht="15" customHeight="1">
      <c r="A67" s="366"/>
      <c r="B67" s="32"/>
      <c r="C67" s="367"/>
      <c r="D67" s="32"/>
      <c r="E67" s="71">
        <f>IF(OR(COUNTIF(Z64:Z68,"w")=uitslagen!$H$49,MID(E64,1,1)="T"),2,IF(COUNTIF(Z64:Z68,"l")=uitslagen!$H$49,3,""))</f>
      </c>
      <c r="G67" s="71">
        <f>IF(E64="","",E64)</f>
      </c>
      <c r="H67" s="490"/>
      <c r="I67" s="490"/>
      <c r="J67" s="490"/>
      <c r="K67" s="490"/>
      <c r="L67" s="490"/>
      <c r="M67" s="491">
        <v>4</v>
      </c>
      <c r="N67" s="492"/>
      <c r="O67" s="12"/>
      <c r="P67" s="12"/>
      <c r="Q67" s="12"/>
      <c r="R67" s="12"/>
      <c r="S67" s="468"/>
      <c r="T67" s="469"/>
      <c r="U67" s="61">
        <f>IF(V67="","",IF(COUNT(O67:T67)&lt;&gt;4,"X",""))</f>
      </c>
      <c r="V67" s="480"/>
      <c r="W67" s="481"/>
      <c r="X67" s="481"/>
      <c r="Y67" s="61">
        <f>IF($V67="","",IF($R$3&gt;$V67,"X",""))</f>
      </c>
      <c r="Z67" s="12"/>
      <c r="AA67" s="11">
        <f>IF(G67="","",IF(OR(AND(V67="",Z67&lt;&gt;""),AND(V67&lt;&gt;"",Z67=""),AND(V67="w",Z67&lt;&gt;"w"),AND(V67="nt",Z67="w"),VLOOKUP($C$3&amp;"-"&amp;G67,'DE4'!$S$10:$AM$24,M67+16,FALSE)="x"),"x",""))</f>
      </c>
      <c r="AB67" s="61"/>
      <c r="AC67" s="61"/>
      <c r="AE67" s="62" t="str">
        <f>IF(AND(COUNT($V67)=1,OR($O67=1,$P67=1,$Q67=1,$R67=1,$S67=1,$T67=1)),INT($V67),"x")</f>
        <v>x</v>
      </c>
      <c r="AF67" s="63">
        <f>IF(AE67="x","",IF(AE67=SMALL($AE$22:$AE$76,1),AE67,""))</f>
      </c>
      <c r="AG67" s="62" t="str">
        <f>IF(AND(COUNT($V67)=1,OR($O67=2,$P67=2,$Q67=2,$R67=2,$S67=2,$T67=2)),INT($V67),"x")</f>
        <v>x</v>
      </c>
      <c r="AH67" s="63">
        <f>IF(AG67="x","",IF(AG67=SMALL($AG$22:$AG$76,1),AG67,""))</f>
      </c>
      <c r="AI67" s="62" t="str">
        <f>IF(AND(COUNT($V67)=1,OR($O67=3,$P67=3,$Q67=3,$R67=3,$S67=3,$T67=3)),INT($V67),"x")</f>
        <v>x</v>
      </c>
      <c r="AJ67" s="63">
        <f>IF(AI67="x","",IF(AI67=SMALL($AI$22:$AI$76,1),AI67,""))</f>
      </c>
      <c r="AK67" s="62" t="str">
        <f>IF(AND(COUNT($V67)=1,OR($O67=4,$P67=4,$Q67=4,$R67=4,$S67=4,$T67=4)),INT($V67),"x")</f>
        <v>x</v>
      </c>
      <c r="AL67" s="63">
        <f>IF(AK67="x","",IF(AK67=SMALL($AK$22:$AK$76,1),AK67,""))</f>
      </c>
      <c r="AM67" s="62" t="str">
        <f>IF(AND(COUNT($V67)=1,OR($O67=5,$P67=5,$Q67=5,$R67=5,$S67=5,$T67=5)),INT($V67),"x")</f>
        <v>x</v>
      </c>
      <c r="AN67" s="63">
        <f>IF(AM67="x","",IF(AM67=SMALL($AM$22:$AM$76,1),AM67,""))</f>
      </c>
      <c r="AO67" s="62" t="str">
        <f>IF(AND(COUNT($V67)=1,OR($O67=6,$P67=6,$Q67=6,$R67=6,$S67=6,$T67=6)),INT($V67),"x")</f>
        <v>x</v>
      </c>
      <c r="AP67" s="63">
        <f>IF(AO67="x","",IF(AO67=SMALL($AO$22:$AO$76,1),AO67,""))</f>
      </c>
      <c r="AQ67" s="64"/>
      <c r="AR67" s="32"/>
    </row>
    <row r="68" spans="1:44" ht="15" customHeight="1">
      <c r="A68" s="366"/>
      <c r="B68" s="32"/>
      <c r="C68" s="367"/>
      <c r="D68" s="32"/>
      <c r="E68" s="74">
        <f>IF(E64=6,"FINALE",IF(E64=7,"FINALE  Herkansing",""))</f>
      </c>
      <c r="G68" s="71">
        <f>IF(E64="","",E64)</f>
      </c>
      <c r="H68" s="490"/>
      <c r="I68" s="490"/>
      <c r="J68" s="490"/>
      <c r="K68" s="490"/>
      <c r="L68" s="490"/>
      <c r="M68" s="491">
        <v>5</v>
      </c>
      <c r="N68" s="492"/>
      <c r="O68" s="12"/>
      <c r="P68" s="12"/>
      <c r="Q68" s="12"/>
      <c r="R68" s="12"/>
      <c r="S68" s="468"/>
      <c r="T68" s="469"/>
      <c r="U68" s="61">
        <f>IF(V68="","",IF(COUNT(O68:T68)&lt;&gt;4,"X",""))</f>
      </c>
      <c r="V68" s="480"/>
      <c r="W68" s="481"/>
      <c r="X68" s="481"/>
      <c r="Y68" s="61">
        <f>IF($V68="","",IF($R$3&gt;$V68,"X",""))</f>
      </c>
      <c r="Z68" s="12"/>
      <c r="AA68" s="11">
        <f>IF(G68="","",IF(OR(AND(V68="",Z68&lt;&gt;""),AND(V68&lt;&gt;"",Z68=""),AND(V68="w",Z68&lt;&gt;"w"),AND(V68="nt",Z68="w"),VLOOKUP($C$3&amp;"-"&amp;G68,'DE4'!$S$10:$AM$24,M68+16,FALSE)="x"),"x",""))</f>
      </c>
      <c r="AB68" s="61"/>
      <c r="AC68" s="61"/>
      <c r="AE68" s="65" t="str">
        <f>IF(AND(COUNT($V68)=1,OR($O68=1,$P68=1,$Q68=1,$R68=1,$S68=1,$T68=1)),INT($V68),"x")</f>
        <v>x</v>
      </c>
      <c r="AF68" s="66">
        <f>IF(AE68="x","",IF(AE68=SMALL($AE$22:$AE$76,1),AE68,""))</f>
      </c>
      <c r="AG68" s="65" t="str">
        <f>IF(AND(COUNT($V68)=1,OR($O68=2,$P68=2,$Q68=2,$R68=2,$S68=2,$T68=2)),INT($V68),"x")</f>
        <v>x</v>
      </c>
      <c r="AH68" s="63">
        <f>IF(AG68="x","",IF(AG68=SMALL($AG$22:$AG$76,1),AG68,""))</f>
      </c>
      <c r="AI68" s="65" t="str">
        <f>IF(AND(COUNT($V68)=1,OR($O68=3,$P68=3,$Q68=3,$R68=3,$S68=3,$T68=3)),INT($V68),"x")</f>
        <v>x</v>
      </c>
      <c r="AJ68" s="63">
        <f>IF(AI68="x","",IF(AI68=SMALL($AI$22:$AI$76,1),AI68,""))</f>
      </c>
      <c r="AK68" s="65" t="str">
        <f>IF(AND(COUNT($V68)=1,OR($O68=4,$P68=4,$Q68=4,$R68=4,$S68=4,$T68=4)),INT($V68),"x")</f>
        <v>x</v>
      </c>
      <c r="AL68" s="63">
        <f>IF(AK68="x","",IF(AK68=SMALL($AK$22:$AK$76,1),AK68,""))</f>
      </c>
      <c r="AM68" s="65" t="str">
        <f>IF(AND(COUNT($V68)=1,OR($O68=5,$P68=5,$Q68=5,$R68=5,$S68=5,$T68=5)),INT($V68),"x")</f>
        <v>x</v>
      </c>
      <c r="AN68" s="63">
        <f>IF(AM68="x","",IF(AM68=SMALL($AM$22:$AM$76,1),AM68,""))</f>
      </c>
      <c r="AO68" s="65" t="str">
        <f>IF(AND(COUNT($V68)=1,OR($O68=6,$P68=6,$Q68=6,$R68=6,$S68=6,$T68=6)),INT($V68),"x")</f>
        <v>x</v>
      </c>
      <c r="AP68" s="63">
        <f>IF(AO68="x","",IF(AO68=SMALL($AO$22:$AO$76,1),AO68,""))</f>
      </c>
      <c r="AQ68" s="64"/>
      <c r="AR68" s="32"/>
    </row>
    <row r="69" spans="1:42" ht="3.75" customHeight="1">
      <c r="A69" s="366"/>
      <c r="B69" s="32"/>
      <c r="C69" s="367"/>
      <c r="E69" s="67"/>
      <c r="F69" s="67"/>
      <c r="G69" s="73"/>
      <c r="H69" s="67"/>
      <c r="I69" s="67"/>
      <c r="J69" s="67"/>
      <c r="K69" s="67"/>
      <c r="L69" s="67"/>
      <c r="M69" s="67"/>
      <c r="N69" s="67"/>
      <c r="O69" s="76"/>
      <c r="P69" s="76"/>
      <c r="Q69" s="76"/>
      <c r="R69" s="76"/>
      <c r="S69" s="76"/>
      <c r="T69" s="76"/>
      <c r="U69" s="67"/>
      <c r="V69" s="487"/>
      <c r="W69" s="487"/>
      <c r="X69" s="487"/>
      <c r="Y69" s="67"/>
      <c r="Z69" s="76"/>
      <c r="AA69" s="68"/>
      <c r="AB69" s="61"/>
      <c r="AC69" s="61"/>
      <c r="AE69" s="69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44" ht="15" customHeight="1">
      <c r="A70" s="366"/>
      <c r="B70" s="32"/>
      <c r="C70" s="367"/>
      <c r="D70" s="32"/>
      <c r="E70" s="55" t="str">
        <f>VLOOKUP("race",'[1]Strings'!$A$3:$K$102,'[1]Strings'!$A$1,FALSE)</f>
        <v>Rennen</v>
      </c>
      <c r="F70" s="55" t="str">
        <f>VLOOKUP("baan / piste",'[1]Strings'!$A$3:$K$102,'[1]Strings'!$A$1,FALSE)</f>
        <v>Bahn</v>
      </c>
      <c r="G70" s="55"/>
      <c r="H70" s="476" t="str">
        <f>VLOOKUP("tegen / contre",'[1]Strings'!$A$3:$K$102,'[1]Strings'!$A$1,FALSE)</f>
        <v>gegen</v>
      </c>
      <c r="I70" s="476"/>
      <c r="J70" s="476"/>
      <c r="K70" s="476"/>
      <c r="L70" s="477"/>
      <c r="M70" s="477" t="str">
        <f>VLOOKUP("heat",'[1]Strings'!$A$3:$K$102,'[1]Strings'!$A$1,FALSE)</f>
        <v>Lauf</v>
      </c>
      <c r="N70" s="477"/>
      <c r="O70" s="476" t="str">
        <f>VLOOKUP("Honden / chiens",'[1]Strings'!$A$3:$K$102,'[1]Strings'!$A$1,FALSE)</f>
        <v>Hunde</v>
      </c>
      <c r="P70" s="476"/>
      <c r="Q70" s="476"/>
      <c r="R70" s="476"/>
      <c r="S70" s="476"/>
      <c r="T70" s="476"/>
      <c r="U70" s="162" t="str">
        <f>VLOOKUP("          Tijd/temps",'[1]Strings'!$A$3:$K$102,'[1]Strings'!$A$1,FALSE)</f>
        <v>           Zeit</v>
      </c>
      <c r="V70" s="163"/>
      <c r="W70" s="163"/>
      <c r="X70" s="163"/>
      <c r="Y70" s="161" t="str">
        <f>VLOOKUP("    W / L / T",'[1]Strings'!$A$3:$K$102,'[1]Strings'!$A$1,FALSE)</f>
        <v>    W/L/T</v>
      </c>
      <c r="Z70" s="55"/>
      <c r="AA70" s="68"/>
      <c r="AB70" s="61"/>
      <c r="AC70" s="61"/>
      <c r="AD70" s="55"/>
      <c r="AE70" s="70"/>
      <c r="AF70" s="67"/>
      <c r="AG70" s="70"/>
      <c r="AH70" s="67"/>
      <c r="AI70" s="70"/>
      <c r="AJ70" s="67"/>
      <c r="AK70" s="70"/>
      <c r="AL70" s="67"/>
      <c r="AM70" s="70"/>
      <c r="AN70" s="67"/>
      <c r="AO70" s="70"/>
      <c r="AP70" s="67"/>
      <c r="AQ70" s="565"/>
      <c r="AR70" s="478"/>
    </row>
    <row r="71" spans="1:44" ht="15" customHeight="1">
      <c r="A71" s="366"/>
      <c r="B71" s="32"/>
      <c r="C71" s="367"/>
      <c r="D71" s="32"/>
      <c r="E71" s="488">
        <f>IF(OR(E67="",E64=""),"",VLOOKUP(E57&amp;"-"&amp;E64,'DE4'!$AX$10:$AZ$25,E67,FALSE))</f>
      </c>
      <c r="F71" s="59">
        <f>IF(E71="","",IF(VLOOKUP($C$3&amp;"-"&amp;E71,'DE4'!$S$10:$AS$24,27,FALSE)="Rood",VLOOKUP("Rood / Rouge",'[1]Strings'!$A$3:$K$102,'[1]Strings'!$A$1,FALSE),""))</f>
      </c>
      <c r="G71" s="71">
        <f>IF(E71="","",E71)</f>
      </c>
      <c r="H71" s="478">
        <f>IF(E71="","",VLOOKUP($C$3&amp;"-"&amp;E71,'DE4'!$S$10:$AR$24,26,FALSE))</f>
      </c>
      <c r="I71" s="478"/>
      <c r="J71" s="478"/>
      <c r="K71" s="478"/>
      <c r="L71" s="479"/>
      <c r="M71" s="491">
        <v>1</v>
      </c>
      <c r="N71" s="492"/>
      <c r="O71" s="12"/>
      <c r="P71" s="12"/>
      <c r="Q71" s="12"/>
      <c r="R71" s="12"/>
      <c r="S71" s="468"/>
      <c r="T71" s="469"/>
      <c r="U71" s="61">
        <f>IF(V71="","",IF(COUNT(O71:T71)&lt;&gt;4,"X",""))</f>
      </c>
      <c r="V71" s="480"/>
      <c r="W71" s="481"/>
      <c r="X71" s="481"/>
      <c r="Y71" s="61">
        <f>IF($V71="","",IF($R$3&gt;$V71,"X",""))</f>
      </c>
      <c r="Z71" s="12"/>
      <c r="AA71" s="11">
        <f>IF(G71="","",IF(OR(AND(V71="",Z71&lt;&gt;""),AND(V71&lt;&gt;"",Z71=""),AND(V71="w",Z71&lt;&gt;"w"),AND(V71="nt",Z71="w"),VLOOKUP($C$3&amp;"-"&amp;G71,'DE4'!$S$10:$AM$24,M71+16,FALSE)="x"),"x",""))</f>
      </c>
      <c r="AB71" s="61"/>
      <c r="AC71" s="61"/>
      <c r="AE71" s="62" t="str">
        <f>IF(AND(COUNT($V71)=1,OR($O71=1,$P71=1,$Q71=1,$R71=1,$S71=1,$T71=1)),INT($V71),"x")</f>
        <v>x</v>
      </c>
      <c r="AF71" s="63">
        <f>IF(AE71="x","",IF(AE71=SMALL($AE$22:$AE$76,1),AE71,""))</f>
      </c>
      <c r="AG71" s="62" t="str">
        <f>IF(AND(COUNT($V71)=1,OR($O71=2,$P71=2,$Q71=2,$R71=2,$S71=2,$T71=2)),INT($V71),"x")</f>
        <v>x</v>
      </c>
      <c r="AH71" s="63">
        <f>IF(AG71="x","",IF(AG71=SMALL($AG$22:$AG$76,1),AG71,""))</f>
      </c>
      <c r="AI71" s="62" t="str">
        <f>IF(AND(COUNT($V71)=1,OR($O71=3,$P71=3,$Q71=3,$R71=3,$S71=3,$T71=3)),INT($V71),"x")</f>
        <v>x</v>
      </c>
      <c r="AJ71" s="63">
        <f>IF(AI71="x","",IF(AI71=SMALL($AI$22:$AI$76,1),AI71,""))</f>
      </c>
      <c r="AK71" s="62" t="str">
        <f>IF(AND(COUNT($V71)=1,OR($O71=4,$P71=4,$Q71=4,$R71=4,$S71=4,$T71=4)),INT($V71),"x")</f>
        <v>x</v>
      </c>
      <c r="AL71" s="63">
        <f>IF(AK71="x","",IF(AK71=SMALL($AK$22:$AK$76,1),AK71,""))</f>
      </c>
      <c r="AM71" s="62" t="str">
        <f>IF(AND(COUNT($V71)=1,OR($O71=5,$P71=5,$Q71=5,$R71=5,$S71=5,$T71=5)),INT($V71),"x")</f>
        <v>x</v>
      </c>
      <c r="AN71" s="63">
        <f>IF(AM71="x","",IF(AM71=SMALL($AM$22:$AM$76,1),AM71,""))</f>
      </c>
      <c r="AO71" s="62" t="str">
        <f>IF(AND(COUNT($V71)=1,OR($O71=6,$P71=6,$Q71=6,$R71=6,$S71=6,$T71=6)),INT($V71),"x")</f>
        <v>x</v>
      </c>
      <c r="AP71" s="63">
        <f>IF(AO71="x","",IF(AO71=SMALL($AO$22:$AO$76,1),AO71,""))</f>
      </c>
      <c r="AQ71" s="64"/>
      <c r="AR71" s="32"/>
    </row>
    <row r="72" spans="1:44" ht="15" customHeight="1">
      <c r="A72" s="366"/>
      <c r="B72" s="32"/>
      <c r="C72" s="367"/>
      <c r="D72" s="32"/>
      <c r="E72" s="489"/>
      <c r="F72" s="59">
        <f>IF(E71="","",IF(VLOOKUP($C$3&amp;"-"&amp;E71,'DE4'!$S$10:$AS$24,27,FALSE)="Blauw",VLOOKUP("Blauw / Bleu",'[1]Strings'!$A$3:$K$102,'[1]Strings'!$A$1,FALSE),""))</f>
      </c>
      <c r="G72" s="71">
        <f>IF(E71="","",E71)</f>
      </c>
      <c r="H72" s="490">
        <f>IF(OR(U71="x",Y71="x",AA71="x"),"CONTROLEER INVOER       HEAT 1",IF(OR(U72="x",Y72="x",AA72="x"),"CONTROLEER INVOER       HEAT 2",IF(OR(U73="x",Y73="x",AA73="x"),"CONTROLEER INVOER       HEAT 3",IF(OR(U74="x",Y74="x",AA74="x"),"CONTROLEER INVOER       HEAT 4",IF(OR(U75="x",Y75="x",AA75="x"),"CONTROLEER INVOER       HEAT 5","")))))</f>
      </c>
      <c r="I72" s="490"/>
      <c r="J72" s="490"/>
      <c r="K72" s="490"/>
      <c r="L72" s="490"/>
      <c r="M72" s="491">
        <v>2</v>
      </c>
      <c r="N72" s="492"/>
      <c r="O72" s="12"/>
      <c r="P72" s="12"/>
      <c r="Q72" s="12"/>
      <c r="R72" s="12"/>
      <c r="S72" s="468"/>
      <c r="T72" s="469"/>
      <c r="U72" s="61">
        <f>IF(V72="","",IF(COUNT(O72:T72)&lt;&gt;4,"X",""))</f>
      </c>
      <c r="V72" s="480"/>
      <c r="W72" s="481"/>
      <c r="X72" s="481"/>
      <c r="Y72" s="61">
        <f>IF($V72="","",IF($R$3&gt;$V72,"X",""))</f>
      </c>
      <c r="Z72" s="12"/>
      <c r="AA72" s="11">
        <f>IF(G72="","",IF(OR(AND(V72="",Z72&lt;&gt;""),AND(V72&lt;&gt;"",Z72=""),AND(V72="w",Z72&lt;&gt;"w"),AND(V72="nt",Z72="w"),VLOOKUP($C$3&amp;"-"&amp;G72,'DE4'!$S$10:$AM$24,M72+16,FALSE)="x"),"x",""))</f>
      </c>
      <c r="AB72" s="61"/>
      <c r="AC72" s="61"/>
      <c r="AE72" s="62" t="str">
        <f>IF(AND(COUNT($V72)=1,OR($O72=1,$P72=1,$Q72=1,$R72=1,$S72=1,$T72=1)),INT($V72),"x")</f>
        <v>x</v>
      </c>
      <c r="AF72" s="63">
        <f>IF(AE72="x","",IF(AE72=SMALL($AE$22:$AE$76,1),AE72,""))</f>
      </c>
      <c r="AG72" s="62" t="str">
        <f>IF(AND(COUNT($V72)=1,OR($O72=2,$P72=2,$Q72=2,$R72=2,$S72=2,$T72=2)),INT($V72),"x")</f>
        <v>x</v>
      </c>
      <c r="AH72" s="63">
        <f>IF(AG72="x","",IF(AG72=SMALL($AG$22:$AG$76,1),AG72,""))</f>
      </c>
      <c r="AI72" s="62" t="str">
        <f>IF(AND(COUNT($V72)=1,OR($O72=3,$P72=3,$Q72=3,$R72=3,$S72=3,$T72=3)),INT($V72),"x")</f>
        <v>x</v>
      </c>
      <c r="AJ72" s="63">
        <f>IF(AI72="x","",IF(AI72=SMALL($AI$22:$AI$76,1),AI72,""))</f>
      </c>
      <c r="AK72" s="62" t="str">
        <f>IF(AND(COUNT($V72)=1,OR($O72=4,$P72=4,$Q72=4,$R72=4,$S72=4,$T72=4)),INT($V72),"x")</f>
        <v>x</v>
      </c>
      <c r="AL72" s="63">
        <f>IF(AK72="x","",IF(AK72=SMALL($AK$22:$AK$76,1),AK72,""))</f>
      </c>
      <c r="AM72" s="62" t="str">
        <f>IF(AND(COUNT($V72)=1,OR($O72=5,$P72=5,$Q72=5,$R72=5,$S72=5,$T72=5)),INT($V72),"x")</f>
        <v>x</v>
      </c>
      <c r="AN72" s="63">
        <f>IF(AM72="x","",IF(AM72=SMALL($AM$22:$AM$76,1),AM72,""))</f>
      </c>
      <c r="AO72" s="62" t="str">
        <f>IF(AND(COUNT($V72)=1,OR($O72=6,$P72=6,$Q72=6,$R72=6,$S72=6,$T72=6)),INT($V72),"x")</f>
        <v>x</v>
      </c>
      <c r="AP72" s="63">
        <f>IF(AO72="x","",IF(AO72=SMALL($AO$22:$AO$76,1),AO72,""))</f>
      </c>
      <c r="AQ72" s="64"/>
      <c r="AR72" s="32"/>
    </row>
    <row r="73" spans="1:44" ht="15" customHeight="1">
      <c r="A73" s="366"/>
      <c r="B73" s="32"/>
      <c r="C73" s="367"/>
      <c r="D73" s="32"/>
      <c r="E73" s="2">
        <f>IF(E71="","",uitslagen!$B$49)</f>
      </c>
      <c r="F73" s="71"/>
      <c r="G73" s="71">
        <f>IF(E71="","",E71)</f>
      </c>
      <c r="H73" s="490"/>
      <c r="I73" s="490"/>
      <c r="J73" s="490"/>
      <c r="K73" s="490"/>
      <c r="L73" s="490"/>
      <c r="M73" s="491">
        <v>3</v>
      </c>
      <c r="N73" s="492"/>
      <c r="O73" s="12"/>
      <c r="P73" s="12"/>
      <c r="Q73" s="12"/>
      <c r="R73" s="12"/>
      <c r="S73" s="468"/>
      <c r="T73" s="469"/>
      <c r="U73" s="61">
        <f>IF(V73="","",IF(COUNT(O73:T73)&lt;&gt;4,"X",""))</f>
      </c>
      <c r="V73" s="480"/>
      <c r="W73" s="481"/>
      <c r="X73" s="481"/>
      <c r="Y73" s="61">
        <f>IF($V73="","",IF($R$3&gt;$V73,"X",""))</f>
      </c>
      <c r="Z73" s="12"/>
      <c r="AA73" s="11">
        <f>IF(G73="","",IF(OR(AND(V73="",Z73&lt;&gt;""),AND(V73&lt;&gt;"",Z73=""),AND(V73="w",Z73&lt;&gt;"w"),AND(V73="nt",Z73="w"),VLOOKUP($C$3&amp;"-"&amp;G73,'DE4'!$S$10:$AM$24,M73+16,FALSE)="x"),"x",""))</f>
      </c>
      <c r="AB73" s="61"/>
      <c r="AC73" s="61"/>
      <c r="AE73" s="62" t="str">
        <f>IF(AND(COUNT($V73)=1,OR($O73=1,$P73=1,$Q73=1,$R73=1,$S73=1,$T73=1)),INT($V73),"x")</f>
        <v>x</v>
      </c>
      <c r="AF73" s="63">
        <f>IF(AE73="x","",IF(AE73=SMALL($AE$22:$AE$76,1),AE73,""))</f>
      </c>
      <c r="AG73" s="62" t="str">
        <f>IF(AND(COUNT($V73)=1,OR($O73=2,$P73=2,$Q73=2,$R73=2,$S73=2,$T73=2)),INT($V73),"x")</f>
        <v>x</v>
      </c>
      <c r="AH73" s="63">
        <f>IF(AG73="x","",IF(AG73=SMALL($AG$22:$AG$76,1),AG73,""))</f>
      </c>
      <c r="AI73" s="62" t="str">
        <f>IF(AND(COUNT($V73)=1,OR($O73=3,$P73=3,$Q73=3,$R73=3,$S73=3,$T73=3)),INT($V73),"x")</f>
        <v>x</v>
      </c>
      <c r="AJ73" s="63">
        <f>IF(AI73="x","",IF(AI73=SMALL($AI$22:$AI$76,1),AI73,""))</f>
      </c>
      <c r="AK73" s="62" t="str">
        <f>IF(AND(COUNT($V73)=1,OR($O73=4,$P73=4,$Q73=4,$R73=4,$S73=4,$T73=4)),INT($V73),"x")</f>
        <v>x</v>
      </c>
      <c r="AL73" s="63">
        <f>IF(AK73="x","",IF(AK73=SMALL($AK$22:$AK$76,1),AK73,""))</f>
      </c>
      <c r="AM73" s="62" t="str">
        <f>IF(AND(COUNT($V73)=1,OR($O73=5,$P73=5,$Q73=5,$R73=5,$S73=5,$T73=5)),INT($V73),"x")</f>
        <v>x</v>
      </c>
      <c r="AN73" s="63">
        <f>IF(AM73="x","",IF(AM73=SMALL($AM$22:$AM$76,1),AM73,""))</f>
      </c>
      <c r="AO73" s="62" t="str">
        <f>IF(AND(COUNT($V73)=1,OR($O73=6,$P73=6,$Q73=6,$R73=6,$S73=6,$T73=6)),INT($V73),"x")</f>
        <v>x</v>
      </c>
      <c r="AP73" s="63">
        <f>IF(AO73="x","",IF(AO73=SMALL($AO$22:$AO$76,1),AO73,""))</f>
      </c>
      <c r="AQ73" s="64"/>
      <c r="AR73" s="32"/>
    </row>
    <row r="74" spans="1:44" ht="15" customHeight="1">
      <c r="A74" s="366"/>
      <c r="B74" s="32"/>
      <c r="C74" s="367"/>
      <c r="D74" s="32"/>
      <c r="E74" s="71">
        <f>IF(OR(COUNTIF(Z71:Z75,"w")=uitslagen!$H$49,MID(E71,1,1)="T"),2,IF(COUNTIF(Z71:Z75,"l")=uitslagen!$H$49,3,""))</f>
      </c>
      <c r="G74" s="71">
        <f>IF(E71="","",E71)</f>
      </c>
      <c r="H74" s="490"/>
      <c r="I74" s="490"/>
      <c r="J74" s="490"/>
      <c r="K74" s="490"/>
      <c r="L74" s="490"/>
      <c r="M74" s="491">
        <v>4</v>
      </c>
      <c r="N74" s="492"/>
      <c r="O74" s="12"/>
      <c r="P74" s="12"/>
      <c r="Q74" s="12"/>
      <c r="R74" s="12"/>
      <c r="S74" s="468"/>
      <c r="T74" s="469"/>
      <c r="U74" s="61">
        <f>IF(V74="","",IF(COUNT(O74:T74)&lt;&gt;4,"X",""))</f>
      </c>
      <c r="V74" s="480"/>
      <c r="W74" s="481"/>
      <c r="X74" s="481"/>
      <c r="Y74" s="61">
        <f>IF($V74="","",IF($R$3&gt;$V74,"X",""))</f>
      </c>
      <c r="Z74" s="12"/>
      <c r="AA74" s="11">
        <f>IF(G74="","",IF(OR(AND(V74="",Z74&lt;&gt;""),AND(V74&lt;&gt;"",Z74=""),AND(V74="w",Z74&lt;&gt;"w"),AND(V74="nt",Z74="w"),VLOOKUP($C$3&amp;"-"&amp;G74,'DE4'!$S$10:$AM$24,M74+16,FALSE)="x"),"x",""))</f>
      </c>
      <c r="AB74" s="61"/>
      <c r="AC74" s="61"/>
      <c r="AE74" s="62" t="str">
        <f>IF(AND(COUNT($V74)=1,OR($O74=1,$P74=1,$Q74=1,$R74=1,$S74=1,$T74=1)),INT($V74),"x")</f>
        <v>x</v>
      </c>
      <c r="AF74" s="63">
        <f>IF(AE74="x","",IF(AE74=SMALL($AE$22:$AE$76,1),AE74,""))</f>
      </c>
      <c r="AG74" s="62" t="str">
        <f>IF(AND(COUNT($V74)=1,OR($O74=2,$P74=2,$Q74=2,$R74=2,$S74=2,$T74=2)),INT($V74),"x")</f>
        <v>x</v>
      </c>
      <c r="AH74" s="63">
        <f>IF(AG74="x","",IF(AG74=SMALL($AG$22:$AG$76,1),AG74,""))</f>
      </c>
      <c r="AI74" s="62" t="str">
        <f>IF(AND(COUNT($V74)=1,OR($O74=3,$P74=3,$Q74=3,$R74=3,$S74=3,$T74=3)),INT($V74),"x")</f>
        <v>x</v>
      </c>
      <c r="AJ74" s="63">
        <f>IF(AI74="x","",IF(AI74=SMALL($AI$22:$AI$76,1),AI74,""))</f>
      </c>
      <c r="AK74" s="62" t="str">
        <f>IF(AND(COUNT($V74)=1,OR($O74=4,$P74=4,$Q74=4,$R74=4,$S74=4,$T74=4)),INT($V74),"x")</f>
        <v>x</v>
      </c>
      <c r="AL74" s="63">
        <f>IF(AK74="x","",IF(AK74=SMALL($AK$22:$AK$76,1),AK74,""))</f>
      </c>
      <c r="AM74" s="62" t="str">
        <f>IF(AND(COUNT($V74)=1,OR($O74=5,$P74=5,$Q74=5,$R74=5,$S74=5,$T74=5)),INT($V74),"x")</f>
        <v>x</v>
      </c>
      <c r="AN74" s="63">
        <f>IF(AM74="x","",IF(AM74=SMALL($AM$22:$AM$76,1),AM74,""))</f>
      </c>
      <c r="AO74" s="62" t="str">
        <f>IF(AND(COUNT($V74)=1,OR($O74=6,$P74=6,$Q74=6,$R74=6,$S74=6,$T74=6)),INT($V74),"x")</f>
        <v>x</v>
      </c>
      <c r="AP74" s="63">
        <f>IF(AO74="x","",IF(AO74=SMALL($AO$22:$AO$76,1),AO74,""))</f>
      </c>
      <c r="AQ74" s="64"/>
      <c r="AR74" s="32"/>
    </row>
    <row r="75" spans="1:44" ht="15" customHeight="1">
      <c r="A75" s="366"/>
      <c r="B75" s="32"/>
      <c r="C75" s="367"/>
      <c r="D75" s="32"/>
      <c r="E75" s="74">
        <f>IF(E71=6,"FINALE",IF(E71=7,"FINALE  Herkansing",""))</f>
      </c>
      <c r="G75" s="71">
        <f>IF(E71="","",E71)</f>
      </c>
      <c r="H75" s="490"/>
      <c r="I75" s="490"/>
      <c r="J75" s="490"/>
      <c r="K75" s="490"/>
      <c r="L75" s="490"/>
      <c r="M75" s="491">
        <v>5</v>
      </c>
      <c r="N75" s="492"/>
      <c r="O75" s="12"/>
      <c r="P75" s="12"/>
      <c r="Q75" s="12"/>
      <c r="R75" s="12"/>
      <c r="S75" s="468"/>
      <c r="T75" s="469"/>
      <c r="U75" s="61">
        <f>IF(V75="","",IF(COUNT(O75:T75)&lt;&gt;4,"X",""))</f>
      </c>
      <c r="V75" s="480"/>
      <c r="W75" s="481"/>
      <c r="X75" s="481"/>
      <c r="Y75" s="61">
        <f>IF($V75="","",IF($R$3&gt;$V75,"X",""))</f>
      </c>
      <c r="Z75" s="12"/>
      <c r="AA75" s="11">
        <f>IF(G75="","",IF(OR(AND(V75="",Z75&lt;&gt;""),AND(V75&lt;&gt;"",Z75=""),AND(V75="w",Z75&lt;&gt;"w"),AND(V75="nt",Z75="w"),VLOOKUP($C$3&amp;"-"&amp;G75,'DE4'!$S$10:$AM$24,M75+16,FALSE)="x"),"x",""))</f>
      </c>
      <c r="AB75" s="61"/>
      <c r="AC75" s="61"/>
      <c r="AE75" s="65" t="str">
        <f>IF(AND(COUNT($V75)=1,OR($O75=1,$P75=1,$Q75=1,$R75=1,$S75=1,$T75=1)),INT($V75),"x")</f>
        <v>x</v>
      </c>
      <c r="AF75" s="66">
        <f>IF(AE75="x","",IF(AE75=SMALL($AE$22:$AE$76,1),AE75,""))</f>
      </c>
      <c r="AG75" s="65" t="str">
        <f>IF(AND(COUNT($V75)=1,OR($O75=2,$P75=2,$Q75=2,$R75=2,$S75=2,$T75=2)),INT($V75),"x")</f>
        <v>x</v>
      </c>
      <c r="AH75" s="63">
        <f>IF(AG75="x","",IF(AG75=SMALL($AG$22:$AG$76,1),AG75,""))</f>
      </c>
      <c r="AI75" s="65" t="str">
        <f>IF(AND(COUNT($V75)=1,OR($O75=3,$P75=3,$Q75=3,$R75=3,$S75=3,$T75=3)),INT($V75),"x")</f>
        <v>x</v>
      </c>
      <c r="AJ75" s="63">
        <f>IF(AI75="x","",IF(AI75=SMALL($AI$22:$AI$76,1),AI75,""))</f>
      </c>
      <c r="AK75" s="65" t="str">
        <f>IF(AND(COUNT($V75)=1,OR($O75=4,$P75=4,$Q75=4,$R75=4,$S75=4,$T75=4)),INT($V75),"x")</f>
        <v>x</v>
      </c>
      <c r="AL75" s="63">
        <f>IF(AK75="x","",IF(AK75=SMALL($AK$22:$AK$76,1),AK75,""))</f>
      </c>
      <c r="AM75" s="65" t="str">
        <f>IF(AND(COUNT($V75)=1,OR($O75=5,$P75=5,$Q75=5,$R75=5,$S75=5,$T75=5)),INT($V75),"x")</f>
        <v>x</v>
      </c>
      <c r="AN75" s="63">
        <f>IF(AM75="x","",IF(AM75=SMALL($AM$22:$AM$76,1),AM75,""))</f>
      </c>
      <c r="AO75" s="65" t="str">
        <f>IF(AND(COUNT($V75)=1,OR($O75=6,$P75=6,$Q75=6,$R75=6,$S75=6,$T75=6)),INT($V75),"x")</f>
        <v>x</v>
      </c>
      <c r="AP75" s="63">
        <f>IF(AO75="x","",IF(AO75=SMALL($AO$22:$AO$76,1),AO75,""))</f>
      </c>
      <c r="AQ75" s="64"/>
      <c r="AR75" s="32"/>
    </row>
    <row r="76" spans="1:42" ht="3.75" customHeight="1">
      <c r="A76" s="366"/>
      <c r="B76" s="32"/>
      <c r="C76" s="367"/>
      <c r="E76" s="67"/>
      <c r="F76" s="67"/>
      <c r="G76" s="73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487"/>
      <c r="W76" s="487"/>
      <c r="X76" s="487"/>
      <c r="Y76" s="67"/>
      <c r="Z76" s="76"/>
      <c r="AA76" s="68"/>
      <c r="AB76" s="61"/>
      <c r="AC76" s="61"/>
      <c r="AE76" s="69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</row>
    <row r="77" spans="1:26" ht="15" customHeight="1">
      <c r="A77" s="32"/>
      <c r="B77" s="32"/>
      <c r="C77" s="32"/>
      <c r="E77" s="568" t="str">
        <f>IF(COUNTIF(uitslagen!E106:E111,"")=6,"",IF(VLOOKUP($C$3,uitslagen!$E$106:$L$111,8,FALSE)=1,"1",VLOOKUP($C$3,uitslagen!$E$106:$L$111,8,FALSE)&amp;" "))</f>
        <v>3 </v>
      </c>
      <c r="F77" s="568"/>
      <c r="G77" s="568"/>
      <c r="H77" s="568"/>
      <c r="I77" s="568"/>
      <c r="J77" s="568"/>
      <c r="K77" s="568"/>
      <c r="L77" s="568"/>
      <c r="M77" s="568"/>
      <c r="N77" s="568"/>
      <c r="O77" s="568"/>
      <c r="P77" s="568"/>
      <c r="Q77" s="568"/>
      <c r="R77" s="568"/>
      <c r="S77" s="568"/>
      <c r="T77" s="568"/>
      <c r="U77" s="568"/>
      <c r="V77" s="568"/>
      <c r="W77" s="568"/>
      <c r="X77" s="568"/>
      <c r="Y77" s="568"/>
      <c r="Z77" s="568"/>
    </row>
    <row r="78" spans="1:26" ht="15" customHeight="1">
      <c r="A78" s="32"/>
      <c r="B78" s="32"/>
      <c r="C78" s="32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</row>
    <row r="79" spans="1:3" ht="15" customHeight="1">
      <c r="A79" s="32"/>
      <c r="B79" s="32"/>
      <c r="C79" s="32"/>
    </row>
  </sheetData>
  <sheetProtection/>
  <mergeCells count="240">
    <mergeCell ref="B18:D18"/>
    <mergeCell ref="B19:D19"/>
    <mergeCell ref="E19:G19"/>
    <mergeCell ref="H16:I16"/>
    <mergeCell ref="E15:G15"/>
    <mergeCell ref="AQ56:AR56"/>
    <mergeCell ref="V51:X51"/>
    <mergeCell ref="V26:X26"/>
    <mergeCell ref="V22:X22"/>
    <mergeCell ref="AI19:AJ19"/>
    <mergeCell ref="N13:V13"/>
    <mergeCell ref="E14:G14"/>
    <mergeCell ref="H14:I14"/>
    <mergeCell ref="L14:M14"/>
    <mergeCell ref="AE19:AF19"/>
    <mergeCell ref="V27:X27"/>
    <mergeCell ref="H17:I17"/>
    <mergeCell ref="H18:I18"/>
    <mergeCell ref="H19:I19"/>
    <mergeCell ref="H15:I15"/>
    <mergeCell ref="AQ70:AR70"/>
    <mergeCell ref="AQ63:AR63"/>
    <mergeCell ref="AM19:AN19"/>
    <mergeCell ref="AO19:AP19"/>
    <mergeCell ref="AQ21:AR21"/>
    <mergeCell ref="M74:N74"/>
    <mergeCell ref="AQ49:AR49"/>
    <mergeCell ref="AQ42:AR42"/>
    <mergeCell ref="AQ28:AR28"/>
    <mergeCell ref="AG19:AH19"/>
    <mergeCell ref="V45:X45"/>
    <mergeCell ref="H57:L57"/>
    <mergeCell ref="E77:Z78"/>
    <mergeCell ref="E64:E65"/>
    <mergeCell ref="H64:L64"/>
    <mergeCell ref="M73:N73"/>
    <mergeCell ref="E71:E72"/>
    <mergeCell ref="H72:L75"/>
    <mergeCell ref="V71:X71"/>
    <mergeCell ref="V64:X64"/>
    <mergeCell ref="M75:N75"/>
    <mergeCell ref="V60:X60"/>
    <mergeCell ref="E57:E58"/>
    <mergeCell ref="H58:L61"/>
    <mergeCell ref="M60:N60"/>
    <mergeCell ref="AK19:AL19"/>
    <mergeCell ref="O63:T63"/>
    <mergeCell ref="V66:X66"/>
    <mergeCell ref="V65:X65"/>
    <mergeCell ref="M61:N61"/>
    <mergeCell ref="V76:X76"/>
    <mergeCell ref="V48:X48"/>
    <mergeCell ref="V36:X36"/>
    <mergeCell ref="V73:X73"/>
    <mergeCell ref="V74:X74"/>
    <mergeCell ref="M67:N67"/>
    <mergeCell ref="V67:X67"/>
    <mergeCell ref="M64:N64"/>
    <mergeCell ref="V62:X62"/>
    <mergeCell ref="M63:N63"/>
    <mergeCell ref="V61:X61"/>
    <mergeCell ref="V54:X54"/>
    <mergeCell ref="V52:X52"/>
    <mergeCell ref="M57:N57"/>
    <mergeCell ref="M56:N56"/>
    <mergeCell ref="V57:X57"/>
    <mergeCell ref="M54:N54"/>
    <mergeCell ref="O56:T56"/>
    <mergeCell ref="V58:X58"/>
    <mergeCell ref="M71:N71"/>
    <mergeCell ref="M72:N72"/>
    <mergeCell ref="V55:X55"/>
    <mergeCell ref="E50:E51"/>
    <mergeCell ref="H51:L54"/>
    <mergeCell ref="H50:L50"/>
    <mergeCell ref="M58:N58"/>
    <mergeCell ref="V72:X72"/>
    <mergeCell ref="M52:N52"/>
    <mergeCell ref="M51:N51"/>
    <mergeCell ref="E29:E30"/>
    <mergeCell ref="H30:L33"/>
    <mergeCell ref="M30:N30"/>
    <mergeCell ref="M29:N29"/>
    <mergeCell ref="M31:N31"/>
    <mergeCell ref="M33:N33"/>
    <mergeCell ref="H35:L35"/>
    <mergeCell ref="M35:N35"/>
    <mergeCell ref="AQ35:AR35"/>
    <mergeCell ref="M36:N36"/>
    <mergeCell ref="O49:T49"/>
    <mergeCell ref="M47:N47"/>
    <mergeCell ref="M40:N40"/>
    <mergeCell ref="V39:X39"/>
    <mergeCell ref="V43:X43"/>
    <mergeCell ref="M46:N46"/>
    <mergeCell ref="O28:T28"/>
    <mergeCell ref="O42:T42"/>
    <mergeCell ref="M43:N43"/>
    <mergeCell ref="M37:N37"/>
    <mergeCell ref="M39:N39"/>
    <mergeCell ref="O35:T35"/>
    <mergeCell ref="M42:N42"/>
    <mergeCell ref="M32:N32"/>
    <mergeCell ref="M28:N28"/>
    <mergeCell ref="M38:N38"/>
    <mergeCell ref="V30:X30"/>
    <mergeCell ref="V31:X31"/>
    <mergeCell ref="V32:X32"/>
    <mergeCell ref="V37:X37"/>
    <mergeCell ref="V41:X41"/>
    <mergeCell ref="V29:X29"/>
    <mergeCell ref="V33:X33"/>
    <mergeCell ref="V34:X34"/>
    <mergeCell ref="V38:X38"/>
    <mergeCell ref="V40:X40"/>
    <mergeCell ref="E43:E44"/>
    <mergeCell ref="H44:L47"/>
    <mergeCell ref="E36:E37"/>
    <mergeCell ref="H37:L40"/>
    <mergeCell ref="H36:L36"/>
    <mergeCell ref="H43:L43"/>
    <mergeCell ref="V47:X47"/>
    <mergeCell ref="V44:X44"/>
    <mergeCell ref="V50:X50"/>
    <mergeCell ref="V59:X59"/>
    <mergeCell ref="M44:N44"/>
    <mergeCell ref="M50:N50"/>
    <mergeCell ref="M49:N49"/>
    <mergeCell ref="M53:N53"/>
    <mergeCell ref="V53:X53"/>
    <mergeCell ref="M45:N45"/>
    <mergeCell ref="V46:X46"/>
    <mergeCell ref="A1:C1"/>
    <mergeCell ref="D1:K1"/>
    <mergeCell ref="H23:L26"/>
    <mergeCell ref="H28:L28"/>
    <mergeCell ref="E6:J6"/>
    <mergeCell ref="E7:J7"/>
    <mergeCell ref="A6:D6"/>
    <mergeCell ref="A7:D7"/>
    <mergeCell ref="C3:K4"/>
    <mergeCell ref="N4:Q4"/>
    <mergeCell ref="R3:V4"/>
    <mergeCell ref="A4:B4"/>
    <mergeCell ref="X1:Z1"/>
    <mergeCell ref="X2:Z4"/>
    <mergeCell ref="N3:Q3"/>
    <mergeCell ref="L1:N1"/>
    <mergeCell ref="O1:V1"/>
    <mergeCell ref="L4:M4"/>
    <mergeCell ref="L3:M3"/>
    <mergeCell ref="B10:D10"/>
    <mergeCell ref="B11:D11"/>
    <mergeCell ref="B12:D12"/>
    <mergeCell ref="B16:D16"/>
    <mergeCell ref="E16:G16"/>
    <mergeCell ref="A3:B3"/>
    <mergeCell ref="L15:M15"/>
    <mergeCell ref="E13:G13"/>
    <mergeCell ref="B9:D9"/>
    <mergeCell ref="B17:D17"/>
    <mergeCell ref="B13:D13"/>
    <mergeCell ref="B15:D15"/>
    <mergeCell ref="B14:D14"/>
    <mergeCell ref="H13:I13"/>
    <mergeCell ref="L13:M13"/>
    <mergeCell ref="M26:N26"/>
    <mergeCell ref="O21:T21"/>
    <mergeCell ref="M21:N21"/>
    <mergeCell ref="M22:N22"/>
    <mergeCell ref="M23:N23"/>
    <mergeCell ref="M25:N25"/>
    <mergeCell ref="V24:X24"/>
    <mergeCell ref="V25:X25"/>
    <mergeCell ref="L6:N7"/>
    <mergeCell ref="M24:N24"/>
    <mergeCell ref="W9:Z9"/>
    <mergeCell ref="W10:Z10"/>
    <mergeCell ref="O6:P6"/>
    <mergeCell ref="Q6:R6"/>
    <mergeCell ref="S6:T6"/>
    <mergeCell ref="W8:Z8"/>
    <mergeCell ref="N9:V9"/>
    <mergeCell ref="E12:G12"/>
    <mergeCell ref="H10:J10"/>
    <mergeCell ref="H11:I11"/>
    <mergeCell ref="H12:I12"/>
    <mergeCell ref="N10:V10"/>
    <mergeCell ref="N11:V11"/>
    <mergeCell ref="N12:V12"/>
    <mergeCell ref="Y6:Z6"/>
    <mergeCell ref="E9:G9"/>
    <mergeCell ref="E10:G10"/>
    <mergeCell ref="E11:G11"/>
    <mergeCell ref="L9:M9"/>
    <mergeCell ref="L10:M10"/>
    <mergeCell ref="L11:M11"/>
    <mergeCell ref="H9:J9"/>
    <mergeCell ref="U6:V6"/>
    <mergeCell ref="W6:X6"/>
    <mergeCell ref="N16:V16"/>
    <mergeCell ref="N19:V19"/>
    <mergeCell ref="L12:M12"/>
    <mergeCell ref="L16:M16"/>
    <mergeCell ref="L17:M17"/>
    <mergeCell ref="L18:M18"/>
    <mergeCell ref="L19:M19"/>
    <mergeCell ref="N18:V18"/>
    <mergeCell ref="N14:V14"/>
    <mergeCell ref="N15:V15"/>
    <mergeCell ref="M68:N68"/>
    <mergeCell ref="M66:N66"/>
    <mergeCell ref="M59:N59"/>
    <mergeCell ref="H63:L63"/>
    <mergeCell ref="H70:L70"/>
    <mergeCell ref="E17:G17"/>
    <mergeCell ref="E18:G18"/>
    <mergeCell ref="H42:L42"/>
    <mergeCell ref="H29:L29"/>
    <mergeCell ref="H49:L49"/>
    <mergeCell ref="V75:X75"/>
    <mergeCell ref="V68:X68"/>
    <mergeCell ref="V69:X69"/>
    <mergeCell ref="H71:L71"/>
    <mergeCell ref="O70:T70"/>
    <mergeCell ref="E22:E23"/>
    <mergeCell ref="H56:L56"/>
    <mergeCell ref="M70:N70"/>
    <mergeCell ref="H65:L68"/>
    <mergeCell ref="M65:N65"/>
    <mergeCell ref="H21:L21"/>
    <mergeCell ref="H22:L22"/>
    <mergeCell ref="V23:X23"/>
    <mergeCell ref="Y7:Z7"/>
    <mergeCell ref="O7:P7"/>
    <mergeCell ref="Q7:R7"/>
    <mergeCell ref="S7:T7"/>
    <mergeCell ref="U7:V7"/>
    <mergeCell ref="W7:X7"/>
    <mergeCell ref="N17:V17"/>
  </mergeCells>
  <conditionalFormatting sqref="F71:F72 F22:F23 F29:F30 F43:F44 F50:F51 F57:F58 F64:F65 F36:F37">
    <cfRule type="cellIs" priority="7" dxfId="14" operator="between" stopIfTrue="1">
      <formula>"B"</formula>
      <formula>"C"</formula>
    </cfRule>
    <cfRule type="cellIs" priority="8" dxfId="13" operator="between" stopIfTrue="1">
      <formula>"R"</formula>
      <formula>"S"</formula>
    </cfRule>
  </conditionalFormatting>
  <conditionalFormatting sqref="AS10">
    <cfRule type="cellIs" priority="9" dxfId="3" operator="greaterThan" stopIfTrue="1">
      <formula>99</formula>
    </cfRule>
  </conditionalFormatting>
  <conditionalFormatting sqref="AS11:AS12 AS16:AS19">
    <cfRule type="cellIs" priority="10" dxfId="3" operator="greaterThan" stopIfTrue="1">
      <formula>20</formula>
    </cfRule>
  </conditionalFormatting>
  <conditionalFormatting sqref="E22:E23 E29:E30 E36:E37 E43:E44 E50:E51 E57:E58 E64:E65 E71:E72">
    <cfRule type="expression" priority="11" dxfId="1" stopIfTrue="1">
      <formula>F23&gt;="B"</formula>
    </cfRule>
    <cfRule type="expression" priority="12" dxfId="0" stopIfTrue="1">
      <formula>F22&gt;="R"</formula>
    </cfRule>
  </conditionalFormatting>
  <conditionalFormatting sqref="A1:V11 X1:Z12 W1:W2 W5:W12 B16:J19 A13:A19 L16:Z19 A12:J12 L12:V12 K12:K19">
    <cfRule type="expression" priority="13" dxfId="2" stopIfTrue="1">
      <formula>$W$3&gt;2</formula>
    </cfRule>
  </conditionalFormatting>
  <conditionalFormatting sqref="AS13">
    <cfRule type="cellIs" priority="5" dxfId="3" operator="greaterThan" stopIfTrue="1">
      <formula>20</formula>
    </cfRule>
  </conditionalFormatting>
  <conditionalFormatting sqref="B13:J13 L13:Z13">
    <cfRule type="expression" priority="6" dxfId="2" stopIfTrue="1">
      <formula>$W$3&gt;2</formula>
    </cfRule>
  </conditionalFormatting>
  <conditionalFormatting sqref="AS14">
    <cfRule type="cellIs" priority="3" dxfId="3" operator="greaterThan" stopIfTrue="1">
      <formula>20</formula>
    </cfRule>
  </conditionalFormatting>
  <conditionalFormatting sqref="B14:J14 L14:Z14">
    <cfRule type="expression" priority="4" dxfId="2" stopIfTrue="1">
      <formula>$W$3&gt;2</formula>
    </cfRule>
  </conditionalFormatting>
  <conditionalFormatting sqref="AS15">
    <cfRule type="cellIs" priority="1" dxfId="3" operator="greaterThan" stopIfTrue="1">
      <formula>20</formula>
    </cfRule>
  </conditionalFormatting>
  <conditionalFormatting sqref="B15:J15 L15:Z15">
    <cfRule type="expression" priority="2" dxfId="2" stopIfTrue="1">
      <formula>$W$3&gt;2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78" r:id="rId2"/>
  <rowBreaks count="1" manualBreakCount="1">
    <brk id="40" max="2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AO111"/>
  <sheetViews>
    <sheetView showGridLines="0" zoomScalePageLayoutView="0" workbookViewId="0" topLeftCell="A1">
      <selection activeCell="I51" sqref="I51"/>
    </sheetView>
  </sheetViews>
  <sheetFormatPr defaultColWidth="9.140625" defaultRowHeight="15" customHeight="1"/>
  <cols>
    <col min="1" max="1" width="9.00390625" style="98" customWidth="1"/>
    <col min="2" max="3" width="5.57421875" style="100" customWidth="1"/>
    <col min="4" max="4" width="4.28125" style="100" customWidth="1"/>
    <col min="5" max="5" width="25.421875" style="115" customWidth="1"/>
    <col min="6" max="6" width="4.00390625" style="151" customWidth="1"/>
    <col min="7" max="7" width="1.57421875" style="116" customWidth="1"/>
    <col min="8" max="8" width="4.00390625" style="155" customWidth="1"/>
    <col min="9" max="9" width="25.421875" style="117" customWidth="1"/>
    <col min="10" max="10" width="4.28125" style="100" customWidth="1"/>
    <col min="11" max="11" width="9.140625" style="98" customWidth="1"/>
    <col min="12" max="13" width="9.140625" style="98" hidden="1" customWidth="1"/>
    <col min="14" max="16" width="7.7109375" style="98" hidden="1" customWidth="1"/>
    <col min="17" max="17" width="8.00390625" style="100" hidden="1" customWidth="1"/>
    <col min="18" max="18" width="21.00390625" style="100" hidden="1" customWidth="1"/>
    <col min="19" max="19" width="21.00390625" style="98" hidden="1" customWidth="1"/>
    <col min="20" max="20" width="7.28125" style="98" hidden="1" customWidth="1"/>
    <col min="21" max="22" width="6.28125" style="98" hidden="1" customWidth="1"/>
    <col min="23" max="24" width="21.00390625" style="98" hidden="1" customWidth="1"/>
    <col min="25" max="25" width="3.8515625" style="100" hidden="1" customWidth="1"/>
    <col min="26" max="26" width="5.8515625" style="98" hidden="1" customWidth="1"/>
    <col min="27" max="27" width="3.28125" style="98" hidden="1" customWidth="1"/>
    <col min="28" max="28" width="3.8515625" style="98" hidden="1" customWidth="1"/>
    <col min="29" max="29" width="3.8515625" style="100" hidden="1" customWidth="1"/>
    <col min="30" max="30" width="5.8515625" style="98" hidden="1" customWidth="1"/>
    <col min="31" max="31" width="3.28125" style="98" hidden="1" customWidth="1"/>
    <col min="32" max="32" width="3.8515625" style="98" hidden="1" customWidth="1"/>
    <col min="33" max="33" width="3.8515625" style="100" hidden="1" customWidth="1"/>
    <col min="34" max="34" width="5.8515625" style="98" hidden="1" customWidth="1"/>
    <col min="35" max="35" width="3.28125" style="98" hidden="1" customWidth="1"/>
    <col min="36" max="36" width="3.8515625" style="98" hidden="1" customWidth="1"/>
    <col min="37" max="37" width="3.8515625" style="100" hidden="1" customWidth="1"/>
    <col min="38" max="38" width="5.8515625" style="98" hidden="1" customWidth="1"/>
    <col min="39" max="39" width="3.28125" style="98" hidden="1" customWidth="1"/>
    <col min="40" max="40" width="3.8515625" style="98" hidden="1" customWidth="1"/>
    <col min="41" max="41" width="3.8515625" style="100" hidden="1" customWidth="1"/>
    <col min="42" max="75" width="9.140625" style="98" hidden="1" customWidth="1"/>
    <col min="76" max="16384" width="9.140625" style="98" customWidth="1"/>
  </cols>
  <sheetData>
    <row r="1" spans="14:25" ht="15" customHeight="1">
      <c r="N1" s="350"/>
      <c r="O1" s="100"/>
      <c r="R1" s="577" t="s">
        <v>82</v>
      </c>
      <c r="S1" s="578"/>
      <c r="T1" s="189"/>
      <c r="U1" s="571" t="s">
        <v>83</v>
      </c>
      <c r="V1" s="572"/>
      <c r="W1" s="572"/>
      <c r="X1" s="573"/>
      <c r="Y1" s="98"/>
    </row>
    <row r="2" spans="2:41" ht="15" customHeight="1">
      <c r="B2" s="351" t="s">
        <v>84</v>
      </c>
      <c r="C2" s="352"/>
      <c r="D2" s="352"/>
      <c r="E2" s="353"/>
      <c r="F2" s="354"/>
      <c r="G2" s="355"/>
      <c r="H2" s="356"/>
      <c r="I2" s="357"/>
      <c r="J2" s="352"/>
      <c r="L2" s="100"/>
      <c r="M2" s="189"/>
      <c r="N2" s="350"/>
      <c r="O2" s="100"/>
      <c r="R2" s="575"/>
      <c r="S2" s="575"/>
      <c r="T2" s="189"/>
      <c r="U2" s="574"/>
      <c r="V2" s="575"/>
      <c r="W2" s="575"/>
      <c r="X2" s="576"/>
      <c r="Y2" s="98"/>
      <c r="Z2" s="13" t="str">
        <f>'BayernXpress I'!$C$3</f>
        <v>BayernXpress I</v>
      </c>
      <c r="AA2" s="13"/>
      <c r="AB2" s="13"/>
      <c r="AC2" s="117"/>
      <c r="AD2" s="13" t="str">
        <f>'Cool Racers'!$C$3</f>
        <v>Cool Racers</v>
      </c>
      <c r="AE2" s="13"/>
      <c r="AF2" s="13"/>
      <c r="AG2" s="117"/>
      <c r="AH2" s="13" t="str">
        <f>'Flying Stars'!$C$3</f>
        <v>Flying Stars</v>
      </c>
      <c r="AI2" s="13"/>
      <c r="AJ2" s="13"/>
      <c r="AK2" s="117"/>
      <c r="AL2" s="13" t="str">
        <f>'Fast''nFurious Flyballteam'!$C$3</f>
        <v>Fast'nFurious Flyballteam</v>
      </c>
      <c r="AM2" s="13"/>
      <c r="AN2" s="13"/>
      <c r="AO2" s="117"/>
    </row>
    <row r="3" spans="2:39" ht="15" customHeight="1">
      <c r="B3" s="89" t="s">
        <v>17</v>
      </c>
      <c r="C3" s="88" t="s">
        <v>12</v>
      </c>
      <c r="D3" s="118"/>
      <c r="E3" s="119" t="s">
        <v>13</v>
      </c>
      <c r="F3" s="119"/>
      <c r="G3" s="118"/>
      <c r="H3" s="120"/>
      <c r="I3" s="456" t="s">
        <v>14</v>
      </c>
      <c r="J3" s="121"/>
      <c r="R3" s="83" t="s">
        <v>13</v>
      </c>
      <c r="S3" s="121" t="str">
        <f>$I$3</f>
        <v>Blauw</v>
      </c>
      <c r="U3" s="89" t="s">
        <v>17</v>
      </c>
      <c r="V3" s="88" t="s">
        <v>12</v>
      </c>
      <c r="W3" s="118" t="s">
        <v>13</v>
      </c>
      <c r="X3" s="121" t="str">
        <f>$I$3</f>
        <v>Blauw</v>
      </c>
      <c r="Z3" s="100"/>
      <c r="AA3" s="100"/>
      <c r="AD3" s="100"/>
      <c r="AE3" s="100"/>
      <c r="AH3" s="100"/>
      <c r="AI3" s="100"/>
      <c r="AL3" s="100"/>
      <c r="AM3" s="100"/>
    </row>
    <row r="4" spans="2:41" ht="15" customHeight="1">
      <c r="B4" s="361">
        <f>'BayernXpress I'!$X$2</f>
        <v>1</v>
      </c>
      <c r="C4" s="90">
        <v>1</v>
      </c>
      <c r="D4" s="122"/>
      <c r="E4" s="123" t="str">
        <f>VLOOKUP(C4&amp;$E$3,RR4!$W$5:$X$33,2,FALSE)</f>
        <v>Fast'nFurious Flyballteam</v>
      </c>
      <c r="F4" s="152">
        <f>VLOOKUP(C4&amp;$E$3,RR4!$W$5:$AS$33,23,FALSE)</f>
        <v>8</v>
      </c>
      <c r="G4" s="124" t="s">
        <v>1</v>
      </c>
      <c r="H4" s="125">
        <f>VLOOKUP(C4&amp;$I$3,RR4!$W$5:$AS$33,23,FALSE)</f>
        <v>0</v>
      </c>
      <c r="I4" s="126" t="str">
        <f>VLOOKUP(C4&amp;$I$3,RR4!$W$5:$X$33,2,FALSE)</f>
        <v>BayernXpress I</v>
      </c>
      <c r="J4" s="127"/>
      <c r="R4" s="426" t="str">
        <f>'Fast''nFurious Flyballteam'!$C$3</f>
        <v>Fast'nFurious Flyballteam</v>
      </c>
      <c r="S4" s="191" t="str">
        <f>'BayernXpress I'!$C$3</f>
        <v>BayernXpress I</v>
      </c>
      <c r="T4" s="83"/>
      <c r="U4" s="89">
        <f>'BayernXpress I'!$X$2</f>
        <v>1</v>
      </c>
      <c r="V4" s="90">
        <v>1</v>
      </c>
      <c r="W4" s="426" t="str">
        <f>'Fast''nFurious Flyballteam'!$C$3</f>
        <v>Fast'nFurious Flyballteam</v>
      </c>
      <c r="X4" s="191" t="str">
        <f>'BayernXpress I'!$C$3</f>
        <v>BayernXpress I</v>
      </c>
      <c r="Z4" s="132">
        <f>IF(OR($W4=Z$2,$X4=Z$2),MAX(Z3:Z$3)+1,"")</f>
        <v>1</v>
      </c>
      <c r="AA4" s="132">
        <f aca="true" t="shared" si="0" ref="AA4:AA11">IF(Z4="","",$V4)</f>
        <v>1</v>
      </c>
      <c r="AB4" s="132" t="str">
        <f aca="true" t="shared" si="1" ref="AB4:AB11">IF($W4=Z$2,$W$3,IF($X4=Z$2,$X$3,""))</f>
        <v>Blauw</v>
      </c>
      <c r="AC4" s="139"/>
      <c r="AD4" s="132">
        <f>IF(OR($W4=AD$2,$X4=AD$2),MAX(AD3:AD$3)+1,"")</f>
      </c>
      <c r="AE4" s="132">
        <f aca="true" t="shared" si="2" ref="AE4:AE11">IF(AD4="","",$V4)</f>
      </c>
      <c r="AF4" s="132">
        <f aca="true" t="shared" si="3" ref="AF4:AF11">IF($W4=AD$2,$W$3,IF($X4=AD$2,$X$3,""))</f>
      </c>
      <c r="AG4" s="139"/>
      <c r="AH4" s="132">
        <f>IF(OR($W4=AH$2,$X4=AH$2),MAX(AH3:AH$3)+1,"")</f>
      </c>
      <c r="AI4" s="132">
        <f aca="true" t="shared" si="4" ref="AI4:AI11">IF(AH4="","",$V4)</f>
      </c>
      <c r="AJ4" s="132">
        <f aca="true" t="shared" si="5" ref="AJ4:AJ11">IF($W4=AH$2,$W$3,IF($X4=AH$2,$X$3,""))</f>
      </c>
      <c r="AK4" s="139"/>
      <c r="AL4" s="132">
        <f>IF(OR($W4=AL$2,$X4=AL$2),MAX(AL3:AL$3)+1,"")</f>
        <v>1</v>
      </c>
      <c r="AM4" s="132">
        <f aca="true" t="shared" si="6" ref="AM4:AM11">IF(AL4="","",$V4)</f>
        <v>1</v>
      </c>
      <c r="AN4" s="132" t="str">
        <f aca="true" t="shared" si="7" ref="AN4:AN11">IF($W4=AL$2,$W$3,IF($X4=AL$2,$X$3,""))</f>
        <v>Rood</v>
      </c>
      <c r="AO4" s="139"/>
    </row>
    <row r="5" spans="2:41" ht="15" customHeight="1">
      <c r="B5" s="362"/>
      <c r="C5" s="90">
        <v>2</v>
      </c>
      <c r="D5" s="122"/>
      <c r="E5" s="123" t="str">
        <f>VLOOKUP(C5&amp;$E$3,RR4!$W$5:$X$33,2,FALSE)</f>
        <v>Cool Racers</v>
      </c>
      <c r="F5" s="152">
        <f>VLOOKUP(C5&amp;$E$3,RR4!$W$5:$AS$33,23,FALSE)</f>
        <v>2</v>
      </c>
      <c r="G5" s="124" t="s">
        <v>1</v>
      </c>
      <c r="H5" s="125">
        <f>VLOOKUP(C5&amp;$I$3,RR4!$W$5:$AS$33,23,FALSE)</f>
        <v>6</v>
      </c>
      <c r="I5" s="126" t="str">
        <f>VLOOKUP(C5&amp;$I$3,RR4!$W$5:$X$33,2,FALSE)</f>
        <v>Flying Stars</v>
      </c>
      <c r="J5" s="127"/>
      <c r="L5" s="100"/>
      <c r="M5" s="83"/>
      <c r="N5" s="83"/>
      <c r="O5" s="100"/>
      <c r="R5" s="428" t="str">
        <f>'Cool Racers'!$C$3</f>
        <v>Cool Racers</v>
      </c>
      <c r="S5" s="425" t="str">
        <f>'Flying Stars'!$C$3</f>
        <v>Flying Stars</v>
      </c>
      <c r="T5" s="190"/>
      <c r="U5" s="89"/>
      <c r="V5" s="90">
        <v>2</v>
      </c>
      <c r="W5" s="428" t="str">
        <f>'Cool Racers'!$C$3</f>
        <v>Cool Racers</v>
      </c>
      <c r="X5" s="425" t="str">
        <f>'Flying Stars'!$C$3</f>
        <v>Flying Stars</v>
      </c>
      <c r="Z5" s="132">
        <f>IF(OR($W5=Z$2,$X5=Z$2),MAX(Z$3:Z4)+1,"")</f>
      </c>
      <c r="AA5" s="132">
        <f t="shared" si="0"/>
      </c>
      <c r="AB5" s="132">
        <f t="shared" si="1"/>
      </c>
      <c r="AC5" s="139"/>
      <c r="AD5" s="132">
        <f>IF(OR($W5=AD$2,$X5=AD$2),MAX(AD$3:AD4)+1,"")</f>
        <v>1</v>
      </c>
      <c r="AE5" s="132">
        <f t="shared" si="2"/>
        <v>2</v>
      </c>
      <c r="AF5" s="132" t="str">
        <f t="shared" si="3"/>
        <v>Rood</v>
      </c>
      <c r="AG5" s="139"/>
      <c r="AH5" s="132">
        <f>IF(OR($W5=AH$2,$X5=AH$2),MAX(AH$3:AH4)+1,"")</f>
        <v>1</v>
      </c>
      <c r="AI5" s="132">
        <f t="shared" si="4"/>
        <v>2</v>
      </c>
      <c r="AJ5" s="132" t="str">
        <f t="shared" si="5"/>
        <v>Blauw</v>
      </c>
      <c r="AK5" s="139"/>
      <c r="AL5" s="132">
        <f>IF(OR($W5=AL$2,$X5=AL$2),MAX(AL$3:AL4)+1,"")</f>
      </c>
      <c r="AM5" s="132">
        <f t="shared" si="6"/>
      </c>
      <c r="AN5" s="132">
        <f t="shared" si="7"/>
      </c>
      <c r="AO5" s="139"/>
    </row>
    <row r="6" spans="2:41" ht="15" customHeight="1">
      <c r="B6" s="89"/>
      <c r="C6" s="83"/>
      <c r="D6" s="83"/>
      <c r="E6" s="123"/>
      <c r="F6" s="152"/>
      <c r="G6" s="124"/>
      <c r="H6" s="125"/>
      <c r="I6" s="126"/>
      <c r="J6" s="128"/>
      <c r="M6" s="83"/>
      <c r="N6" s="280"/>
      <c r="O6" s="100"/>
      <c r="R6" s="83"/>
      <c r="S6" s="118"/>
      <c r="T6" s="190"/>
      <c r="U6" s="89"/>
      <c r="V6" s="90"/>
      <c r="W6" s="83"/>
      <c r="X6" s="118"/>
      <c r="Z6" s="132">
        <f>IF(OR($W6=Z$2,$X6=Z$2),MAX(Z$3:Z5)+1,"")</f>
      </c>
      <c r="AA6" s="132">
        <f t="shared" si="0"/>
      </c>
      <c r="AB6" s="132">
        <f t="shared" si="1"/>
      </c>
      <c r="AC6" s="139"/>
      <c r="AD6" s="132">
        <f>IF(OR($W6=AD$2,$X6=AD$2),MAX(AD$3:AD5)+1,"")</f>
      </c>
      <c r="AE6" s="132">
        <f t="shared" si="2"/>
      </c>
      <c r="AF6" s="132">
        <f t="shared" si="3"/>
      </c>
      <c r="AG6" s="139"/>
      <c r="AH6" s="132">
        <f>IF(OR($W6=AH$2,$X6=AH$2),MAX(AH$3:AH5)+1,"")</f>
      </c>
      <c r="AI6" s="132">
        <f t="shared" si="4"/>
      </c>
      <c r="AJ6" s="132">
        <f t="shared" si="5"/>
      </c>
      <c r="AK6" s="139"/>
      <c r="AL6" s="132">
        <f>IF(OR($W6=AL$2,$X6=AL$2),MAX(AL$3:AL5)+1,"")</f>
      </c>
      <c r="AM6" s="132">
        <f t="shared" si="6"/>
      </c>
      <c r="AN6" s="132">
        <f t="shared" si="7"/>
      </c>
      <c r="AO6" s="139"/>
    </row>
    <row r="7" spans="2:41" ht="15" customHeight="1">
      <c r="B7" s="361">
        <f>'BayernXpress I'!$X$2</f>
        <v>1</v>
      </c>
      <c r="C7" s="90">
        <v>3</v>
      </c>
      <c r="D7" s="122"/>
      <c r="E7" s="123" t="str">
        <f>VLOOKUP(C7&amp;$E$3,RR4!$W$5:$X$33,2,FALSE)</f>
        <v>BayernXpress I</v>
      </c>
      <c r="F7" s="152">
        <f>VLOOKUP(C7&amp;$E$3,RR4!$W$5:$AS$33,23,FALSE)</f>
        <v>2</v>
      </c>
      <c r="G7" s="124" t="s">
        <v>1</v>
      </c>
      <c r="H7" s="125">
        <f>VLOOKUP(C7&amp;$I$3,RR4!$W$5:$AS$33,23,FALSE)</f>
        <v>6</v>
      </c>
      <c r="I7" s="126" t="str">
        <f>VLOOKUP(C7&amp;$I$3,RR4!$W$5:$X$33,2,FALSE)</f>
        <v>Flying Stars</v>
      </c>
      <c r="J7" s="127"/>
      <c r="M7" s="83"/>
      <c r="N7" s="280"/>
      <c r="O7" s="100"/>
      <c r="R7" s="429" t="str">
        <f>'BayernXpress I'!$C$3</f>
        <v>BayernXpress I</v>
      </c>
      <c r="S7" s="425" t="str">
        <f>'Flying Stars'!$C$3</f>
        <v>Flying Stars</v>
      </c>
      <c r="T7" s="190"/>
      <c r="U7" s="89"/>
      <c r="V7" s="90">
        <v>3</v>
      </c>
      <c r="W7" s="429" t="str">
        <f>'BayernXpress I'!$C$3</f>
        <v>BayernXpress I</v>
      </c>
      <c r="X7" s="425" t="str">
        <f>'Flying Stars'!$C$3</f>
        <v>Flying Stars</v>
      </c>
      <c r="Z7" s="132">
        <f>IF(OR($W7=Z$2,$X7=Z$2),MAX(Z$3:Z6)+1,"")</f>
        <v>2</v>
      </c>
      <c r="AA7" s="132">
        <f t="shared" si="0"/>
        <v>3</v>
      </c>
      <c r="AB7" s="132" t="str">
        <f t="shared" si="1"/>
        <v>Rood</v>
      </c>
      <c r="AC7" s="139"/>
      <c r="AD7" s="132">
        <f>IF(OR($W7=AD$2,$X7=AD$2),MAX(AD$3:AD6)+1,"")</f>
      </c>
      <c r="AE7" s="132">
        <f t="shared" si="2"/>
      </c>
      <c r="AF7" s="132">
        <f t="shared" si="3"/>
      </c>
      <c r="AG7" s="139"/>
      <c r="AH7" s="132">
        <f>IF(OR($W7=AH$2,$X7=AH$2),MAX(AH$3:AH6)+1,"")</f>
        <v>2</v>
      </c>
      <c r="AI7" s="132">
        <f t="shared" si="4"/>
        <v>3</v>
      </c>
      <c r="AJ7" s="132" t="str">
        <f t="shared" si="5"/>
        <v>Blauw</v>
      </c>
      <c r="AK7" s="139"/>
      <c r="AL7" s="132">
        <f>IF(OR($W7=AL$2,$X7=AL$2),MAX(AL$3:AL6)+1,"")</f>
      </c>
      <c r="AM7" s="132">
        <f t="shared" si="6"/>
      </c>
      <c r="AN7" s="132">
        <f t="shared" si="7"/>
      </c>
      <c r="AO7" s="139"/>
    </row>
    <row r="8" spans="2:41" ht="15" customHeight="1">
      <c r="B8" s="362"/>
      <c r="C8" s="90">
        <v>4</v>
      </c>
      <c r="D8" s="122"/>
      <c r="E8" s="123" t="str">
        <f>VLOOKUP(C8&amp;$E$3,RR4!$W$5:$X$33,2,FALSE)</f>
        <v>Fast'nFurious Flyballteam</v>
      </c>
      <c r="F8" s="152">
        <f>VLOOKUP(C8&amp;$E$3,RR4!$W$5:$AS$33,23,FALSE)</f>
        <v>7</v>
      </c>
      <c r="G8" s="124" t="s">
        <v>1</v>
      </c>
      <c r="H8" s="125">
        <f>VLOOKUP(C8&amp;$I$3,RR4!$W$5:$AS$33,23,FALSE)</f>
        <v>1</v>
      </c>
      <c r="I8" s="126" t="str">
        <f>VLOOKUP(C8&amp;$I$3,RR4!$W$5:$X$33,2,FALSE)</f>
        <v>Cool Racers</v>
      </c>
      <c r="J8" s="127"/>
      <c r="M8" s="83"/>
      <c r="N8" s="280"/>
      <c r="O8" s="100"/>
      <c r="R8" s="424" t="str">
        <f>'Fast''nFurious Flyballteam'!$C$3</f>
        <v>Fast'nFurious Flyballteam</v>
      </c>
      <c r="S8" s="428" t="str">
        <f>'Cool Racers'!$C$3</f>
        <v>Cool Racers</v>
      </c>
      <c r="T8" s="190"/>
      <c r="U8" s="133"/>
      <c r="V8" s="100">
        <v>4</v>
      </c>
      <c r="W8" s="424" t="str">
        <f>'Fast''nFurious Flyballteam'!$C$3</f>
        <v>Fast'nFurious Flyballteam</v>
      </c>
      <c r="X8" s="428" t="str">
        <f>'Cool Racers'!$C$3</f>
        <v>Cool Racers</v>
      </c>
      <c r="Z8" s="132">
        <f>IF(OR($W8=Z$2,$X8=Z$2),MAX(Z$3:Z7)+1,"")</f>
      </c>
      <c r="AA8" s="132">
        <f t="shared" si="0"/>
      </c>
      <c r="AB8" s="132">
        <f t="shared" si="1"/>
      </c>
      <c r="AC8" s="139"/>
      <c r="AD8" s="132">
        <f>IF(OR($W8=AD$2,$X8=AD$2),MAX(AD$3:AD7)+1,"")</f>
        <v>2</v>
      </c>
      <c r="AE8" s="132">
        <f t="shared" si="2"/>
        <v>4</v>
      </c>
      <c r="AF8" s="132" t="str">
        <f t="shared" si="3"/>
        <v>Blauw</v>
      </c>
      <c r="AG8" s="139"/>
      <c r="AH8" s="132">
        <f>IF(OR($W8=AH$2,$X8=AH$2),MAX(AH$3:AH7)+1,"")</f>
      </c>
      <c r="AI8" s="132">
        <f t="shared" si="4"/>
      </c>
      <c r="AJ8" s="132">
        <f t="shared" si="5"/>
      </c>
      <c r="AK8" s="139"/>
      <c r="AL8" s="132">
        <f>IF(OR($W8=AL$2,$X8=AL$2),MAX(AL$3:AL7)+1,"")</f>
        <v>2</v>
      </c>
      <c r="AM8" s="132">
        <f t="shared" si="6"/>
        <v>4</v>
      </c>
      <c r="AN8" s="132" t="str">
        <f t="shared" si="7"/>
        <v>Rood</v>
      </c>
      <c r="AO8" s="139"/>
    </row>
    <row r="9" spans="2:41" ht="15" customHeight="1">
      <c r="B9" s="89"/>
      <c r="C9" s="83"/>
      <c r="D9" s="83"/>
      <c r="E9" s="123"/>
      <c r="F9" s="152"/>
      <c r="G9" s="124"/>
      <c r="H9" s="125"/>
      <c r="I9" s="126"/>
      <c r="J9" s="128"/>
      <c r="M9" s="83"/>
      <c r="N9" s="280"/>
      <c r="O9" s="100"/>
      <c r="R9" s="83"/>
      <c r="S9" s="118"/>
      <c r="T9" s="190"/>
      <c r="U9" s="89">
        <f>'BayernXpress I'!$X$2</f>
        <v>1</v>
      </c>
      <c r="V9" s="90"/>
      <c r="W9" s="83"/>
      <c r="X9" s="118"/>
      <c r="Z9" s="132">
        <f>IF(OR($W9=Z$2,$X9=Z$2),MAX(Z$3:Z8)+1,"")</f>
      </c>
      <c r="AA9" s="132">
        <f t="shared" si="0"/>
      </c>
      <c r="AB9" s="132">
        <f t="shared" si="1"/>
      </c>
      <c r="AC9" s="139"/>
      <c r="AD9" s="132">
        <f>IF(OR($W9=AD$2,$X9=AD$2),MAX(AD$3:AD8)+1,"")</f>
      </c>
      <c r="AE9" s="132">
        <f t="shared" si="2"/>
      </c>
      <c r="AF9" s="132">
        <f t="shared" si="3"/>
      </c>
      <c r="AG9" s="139"/>
      <c r="AH9" s="132">
        <f>IF(OR($W9=AH$2,$X9=AH$2),MAX(AH$3:AH8)+1,"")</f>
      </c>
      <c r="AI9" s="132">
        <f t="shared" si="4"/>
      </c>
      <c r="AJ9" s="132">
        <f t="shared" si="5"/>
      </c>
      <c r="AK9" s="139"/>
      <c r="AL9" s="132">
        <f>IF(OR($W9=AL$2,$X9=AL$2),MAX(AL$3:AL8)+1,"")</f>
      </c>
      <c r="AM9" s="132">
        <f t="shared" si="6"/>
      </c>
      <c r="AN9" s="132">
        <f t="shared" si="7"/>
      </c>
      <c r="AO9" s="139"/>
    </row>
    <row r="10" spans="2:41" ht="15" customHeight="1">
      <c r="B10" s="361">
        <f>'BayernXpress I'!$X$2</f>
        <v>1</v>
      </c>
      <c r="C10" s="90">
        <v>5</v>
      </c>
      <c r="D10" s="122"/>
      <c r="E10" s="123" t="str">
        <f>VLOOKUP(C10&amp;$E$3,RR4!$W$5:$X$33,2,FALSE)</f>
        <v>Flying Stars</v>
      </c>
      <c r="F10" s="152">
        <f>VLOOKUP(C10&amp;$E$3,RR4!$W$5:$AS$33,23,FALSE)</f>
        <v>6</v>
      </c>
      <c r="G10" s="124" t="s">
        <v>1</v>
      </c>
      <c r="H10" s="125">
        <f>VLOOKUP(C10&amp;$I$3,RR4!$W$5:$AS$33,23,FALSE)</f>
        <v>2</v>
      </c>
      <c r="I10" s="126" t="str">
        <f>VLOOKUP(C10&amp;$I$3,RR4!$W$5:$X$33,2,FALSE)</f>
        <v>Fast'nFurious Flyballteam</v>
      </c>
      <c r="J10" s="127"/>
      <c r="M10" s="100"/>
      <c r="N10" s="100"/>
      <c r="O10" s="100"/>
      <c r="R10" s="427" t="str">
        <f>'Flying Stars'!$C$3</f>
        <v>Flying Stars</v>
      </c>
      <c r="S10" s="424" t="str">
        <f>'Fast''nFurious Flyballteam'!$C$3</f>
        <v>Fast'nFurious Flyballteam</v>
      </c>
      <c r="T10" s="190"/>
      <c r="U10" s="89"/>
      <c r="V10" s="90">
        <v>5</v>
      </c>
      <c r="W10" s="427" t="str">
        <f>'Flying Stars'!$C$3</f>
        <v>Flying Stars</v>
      </c>
      <c r="X10" s="424" t="str">
        <f>'Fast''nFurious Flyballteam'!$C$3</f>
        <v>Fast'nFurious Flyballteam</v>
      </c>
      <c r="Z10" s="132">
        <f>IF(OR($W10=Z$2,$X10=Z$2),MAX(Z$3:Z9)+1,"")</f>
      </c>
      <c r="AA10" s="132">
        <f t="shared" si="0"/>
      </c>
      <c r="AB10" s="132">
        <f t="shared" si="1"/>
      </c>
      <c r="AC10" s="139"/>
      <c r="AD10" s="132">
        <f>IF(OR($W10=AD$2,$X10=AD$2),MAX(AD$3:AD9)+1,"")</f>
      </c>
      <c r="AE10" s="132">
        <f t="shared" si="2"/>
      </c>
      <c r="AF10" s="132">
        <f t="shared" si="3"/>
      </c>
      <c r="AG10" s="139"/>
      <c r="AH10" s="132">
        <f>IF(OR($W10=AH$2,$X10=AH$2),MAX(AH$3:AH9)+1,"")</f>
        <v>3</v>
      </c>
      <c r="AI10" s="132">
        <f t="shared" si="4"/>
        <v>5</v>
      </c>
      <c r="AJ10" s="132" t="str">
        <f t="shared" si="5"/>
        <v>Rood</v>
      </c>
      <c r="AK10" s="139"/>
      <c r="AL10" s="132">
        <f>IF(OR($W10=AL$2,$X10=AL$2),MAX(AL$3:AL9)+1,"")</f>
        <v>3</v>
      </c>
      <c r="AM10" s="132">
        <f t="shared" si="6"/>
        <v>5</v>
      </c>
      <c r="AN10" s="132" t="str">
        <f t="shared" si="7"/>
        <v>Blauw</v>
      </c>
      <c r="AO10" s="139"/>
    </row>
    <row r="11" spans="2:41" ht="15" customHeight="1">
      <c r="B11" s="363"/>
      <c r="C11" s="90">
        <v>6</v>
      </c>
      <c r="D11" s="122"/>
      <c r="E11" s="123" t="str">
        <f>VLOOKUP(C11&amp;$E$3,RR4!$W$5:$X$33,2,FALSE)</f>
        <v>BayernXpress I</v>
      </c>
      <c r="F11" s="152">
        <f>VLOOKUP(C11&amp;$E$3,RR4!$W$5:$AS$33,23,FALSE)</f>
        <v>6</v>
      </c>
      <c r="G11" s="124" t="s">
        <v>1</v>
      </c>
      <c r="H11" s="125">
        <f>VLOOKUP(C11&amp;$I$3,RR4!$W$5:$AS$33,23,FALSE)</f>
        <v>2</v>
      </c>
      <c r="I11" s="126" t="str">
        <f>VLOOKUP(C11&amp;$I$3,RR4!$W$5:$X$33,2,FALSE)</f>
        <v>Cool Racers</v>
      </c>
      <c r="J11" s="127"/>
      <c r="M11" s="83"/>
      <c r="N11" s="280"/>
      <c r="O11" s="100"/>
      <c r="R11" s="429" t="str">
        <f>'BayernXpress I'!$C$3</f>
        <v>BayernXpress I</v>
      </c>
      <c r="S11" s="449" t="str">
        <f>'Cool Racers'!$C$3</f>
        <v>Cool Racers</v>
      </c>
      <c r="T11" s="190"/>
      <c r="U11" s="450"/>
      <c r="V11" s="451">
        <v>6</v>
      </c>
      <c r="W11" s="429" t="str">
        <f>'BayernXpress I'!$C$3</f>
        <v>BayernXpress I</v>
      </c>
      <c r="X11" s="449" t="str">
        <f>'Cool Racers'!$C$3</f>
        <v>Cool Racers</v>
      </c>
      <c r="Z11" s="138">
        <f>IF(OR($W11=Z$2,$X11=Z$2),MAX(Z$3:Z10)+1,"")</f>
        <v>3</v>
      </c>
      <c r="AA11" s="138">
        <f t="shared" si="0"/>
        <v>6</v>
      </c>
      <c r="AB11" s="138" t="str">
        <f t="shared" si="1"/>
        <v>Rood</v>
      </c>
      <c r="AC11" s="139"/>
      <c r="AD11" s="138">
        <f>IF(OR($W11=AD$2,$X11=AD$2),MAX(AD$3:AD10)+1,"")</f>
        <v>3</v>
      </c>
      <c r="AE11" s="138">
        <f t="shared" si="2"/>
        <v>6</v>
      </c>
      <c r="AF11" s="138" t="str">
        <f t="shared" si="3"/>
        <v>Blauw</v>
      </c>
      <c r="AG11" s="139"/>
      <c r="AH11" s="138">
        <f>IF(OR($W11=AH$2,$X11=AH$2),MAX(AH$3:AH10)+1,"")</f>
      </c>
      <c r="AI11" s="138">
        <f t="shared" si="4"/>
      </c>
      <c r="AJ11" s="138">
        <f t="shared" si="5"/>
      </c>
      <c r="AK11" s="139"/>
      <c r="AL11" s="138">
        <f>IF(OR($W11=AL$2,$X11=AL$2),MAX(AL$3:AL10)+1,"")</f>
      </c>
      <c r="AM11" s="138">
        <f t="shared" si="6"/>
      </c>
      <c r="AN11" s="138">
        <f t="shared" si="7"/>
      </c>
      <c r="AO11" s="139"/>
    </row>
    <row r="12" spans="2:40" ht="15" customHeight="1">
      <c r="B12" s="83"/>
      <c r="C12" s="83"/>
      <c r="D12" s="83"/>
      <c r="E12" s="290"/>
      <c r="F12" s="373"/>
      <c r="G12" s="374"/>
      <c r="H12" s="375"/>
      <c r="I12" s="289"/>
      <c r="J12" s="77"/>
      <c r="M12" s="83"/>
      <c r="N12" s="280"/>
      <c r="O12" s="100"/>
      <c r="R12" s="83"/>
      <c r="S12" s="83"/>
      <c r="T12" s="190"/>
      <c r="U12" s="83"/>
      <c r="V12" s="280"/>
      <c r="W12" s="83"/>
      <c r="X12" s="83"/>
      <c r="Z12" s="100"/>
      <c r="AA12" s="100"/>
      <c r="AB12" s="100"/>
      <c r="AD12" s="100"/>
      <c r="AE12" s="100"/>
      <c r="AF12" s="100"/>
      <c r="AH12" s="100"/>
      <c r="AI12" s="100"/>
      <c r="AJ12" s="100"/>
      <c r="AL12" s="100"/>
      <c r="AM12" s="100"/>
      <c r="AN12" s="100"/>
    </row>
    <row r="13" spans="2:40" ht="15" customHeight="1" hidden="1">
      <c r="B13" s="83"/>
      <c r="C13" s="280"/>
      <c r="D13" s="280"/>
      <c r="E13" s="290"/>
      <c r="F13" s="373"/>
      <c r="G13" s="374"/>
      <c r="H13" s="375"/>
      <c r="I13" s="289"/>
      <c r="J13" s="376"/>
      <c r="M13" s="83"/>
      <c r="N13" s="280"/>
      <c r="O13" s="100"/>
      <c r="S13" s="100"/>
      <c r="T13" s="190"/>
      <c r="U13" s="83"/>
      <c r="V13" s="100"/>
      <c r="W13" s="83"/>
      <c r="X13" s="83"/>
      <c r="Z13" s="100"/>
      <c r="AA13" s="100"/>
      <c r="AB13" s="100"/>
      <c r="AD13" s="100"/>
      <c r="AE13" s="100"/>
      <c r="AF13" s="100"/>
      <c r="AH13" s="100"/>
      <c r="AI13" s="100"/>
      <c r="AJ13" s="100"/>
      <c r="AL13" s="100"/>
      <c r="AM13" s="100"/>
      <c r="AN13" s="100"/>
    </row>
    <row r="14" spans="2:40" ht="15" customHeight="1" hidden="1">
      <c r="B14" s="83"/>
      <c r="C14" s="280"/>
      <c r="D14" s="280"/>
      <c r="E14" s="290"/>
      <c r="F14" s="373"/>
      <c r="G14" s="374"/>
      <c r="H14" s="375"/>
      <c r="I14" s="289"/>
      <c r="J14" s="376"/>
      <c r="M14" s="83"/>
      <c r="N14" s="280"/>
      <c r="O14" s="100"/>
      <c r="R14" s="83"/>
      <c r="S14" s="83"/>
      <c r="T14" s="190"/>
      <c r="U14" s="83"/>
      <c r="V14" s="280"/>
      <c r="W14" s="83"/>
      <c r="X14" s="83"/>
      <c r="Z14" s="100"/>
      <c r="AA14" s="100"/>
      <c r="AB14" s="100"/>
      <c r="AD14" s="100"/>
      <c r="AE14" s="100"/>
      <c r="AF14" s="100"/>
      <c r="AH14" s="100"/>
      <c r="AI14" s="100"/>
      <c r="AJ14" s="100"/>
      <c r="AL14" s="100"/>
      <c r="AM14" s="100"/>
      <c r="AN14" s="100"/>
    </row>
    <row r="15" spans="2:40" ht="15" customHeight="1" hidden="1">
      <c r="B15" s="83"/>
      <c r="C15" s="83"/>
      <c r="D15" s="83"/>
      <c r="E15" s="290"/>
      <c r="F15" s="373"/>
      <c r="G15" s="374"/>
      <c r="H15" s="375"/>
      <c r="I15" s="289"/>
      <c r="J15" s="77"/>
      <c r="M15" s="83"/>
      <c r="N15" s="100"/>
      <c r="O15" s="100"/>
      <c r="R15" s="83"/>
      <c r="S15" s="83"/>
      <c r="T15" s="190"/>
      <c r="U15" s="100"/>
      <c r="V15" s="280"/>
      <c r="W15" s="83"/>
      <c r="X15" s="83"/>
      <c r="Z15" s="100"/>
      <c r="AA15" s="100"/>
      <c r="AB15" s="100"/>
      <c r="AD15" s="100"/>
      <c r="AE15" s="100"/>
      <c r="AF15" s="100"/>
      <c r="AH15" s="100"/>
      <c r="AI15" s="100"/>
      <c r="AJ15" s="100"/>
      <c r="AL15" s="100"/>
      <c r="AM15" s="100"/>
      <c r="AN15" s="100"/>
    </row>
    <row r="16" spans="2:40" ht="15" customHeight="1" hidden="1">
      <c r="B16" s="83"/>
      <c r="C16" s="280"/>
      <c r="D16" s="280"/>
      <c r="E16" s="290"/>
      <c r="F16" s="373"/>
      <c r="G16" s="374"/>
      <c r="H16" s="375"/>
      <c r="I16" s="289"/>
      <c r="J16" s="376"/>
      <c r="M16" s="83"/>
      <c r="N16" s="280"/>
      <c r="O16" s="100"/>
      <c r="S16" s="100"/>
      <c r="T16" s="190"/>
      <c r="U16" s="83"/>
      <c r="V16" s="280"/>
      <c r="W16" s="83"/>
      <c r="X16" s="83"/>
      <c r="Z16" s="100"/>
      <c r="AA16" s="100"/>
      <c r="AB16" s="100"/>
      <c r="AD16" s="100"/>
      <c r="AE16" s="100"/>
      <c r="AF16" s="100"/>
      <c r="AH16" s="100"/>
      <c r="AI16" s="100"/>
      <c r="AJ16" s="100"/>
      <c r="AL16" s="100"/>
      <c r="AM16" s="100"/>
      <c r="AN16" s="100"/>
    </row>
    <row r="17" spans="2:40" ht="15" customHeight="1" hidden="1">
      <c r="B17" s="83"/>
      <c r="C17" s="280"/>
      <c r="D17" s="280"/>
      <c r="E17" s="290"/>
      <c r="F17" s="373"/>
      <c r="G17" s="374"/>
      <c r="H17" s="375"/>
      <c r="I17" s="289"/>
      <c r="J17" s="376"/>
      <c r="M17" s="100"/>
      <c r="N17" s="280"/>
      <c r="O17" s="100"/>
      <c r="S17" s="100"/>
      <c r="T17" s="190"/>
      <c r="U17" s="83"/>
      <c r="V17" s="280"/>
      <c r="W17" s="83"/>
      <c r="X17" s="83"/>
      <c r="Z17" s="100"/>
      <c r="AA17" s="100"/>
      <c r="AB17" s="100"/>
      <c r="AD17" s="100"/>
      <c r="AE17" s="100"/>
      <c r="AF17" s="100"/>
      <c r="AH17" s="100"/>
      <c r="AI17" s="100"/>
      <c r="AJ17" s="100"/>
      <c r="AL17" s="100"/>
      <c r="AM17" s="100"/>
      <c r="AN17" s="100"/>
    </row>
    <row r="18" spans="2:40" ht="15" customHeight="1" hidden="1">
      <c r="B18" s="83"/>
      <c r="C18" s="280"/>
      <c r="D18" s="280"/>
      <c r="E18" s="290"/>
      <c r="F18" s="373"/>
      <c r="G18" s="374"/>
      <c r="H18" s="375"/>
      <c r="I18" s="289"/>
      <c r="J18" s="376"/>
      <c r="M18" s="83"/>
      <c r="N18" s="280"/>
      <c r="O18" s="100"/>
      <c r="R18" s="83"/>
      <c r="S18" s="83"/>
      <c r="T18" s="190"/>
      <c r="U18" s="83"/>
      <c r="V18" s="83"/>
      <c r="W18" s="83"/>
      <c r="X18" s="83"/>
      <c r="Z18" s="100"/>
      <c r="AA18" s="100"/>
      <c r="AB18" s="100"/>
      <c r="AD18" s="100"/>
      <c r="AE18" s="100"/>
      <c r="AF18" s="100"/>
      <c r="AH18" s="100"/>
      <c r="AI18" s="100"/>
      <c r="AJ18" s="100"/>
      <c r="AL18" s="100"/>
      <c r="AM18" s="100"/>
      <c r="AN18" s="100"/>
    </row>
    <row r="19" spans="2:40" ht="15" customHeight="1" hidden="1">
      <c r="B19" s="83"/>
      <c r="C19" s="83"/>
      <c r="D19" s="83"/>
      <c r="E19" s="290"/>
      <c r="F19" s="373"/>
      <c r="G19" s="374"/>
      <c r="H19" s="375"/>
      <c r="I19" s="289"/>
      <c r="J19" s="77"/>
      <c r="M19" s="83"/>
      <c r="N19" s="83"/>
      <c r="O19" s="100"/>
      <c r="R19" s="83"/>
      <c r="S19" s="83"/>
      <c r="T19" s="190"/>
      <c r="U19" s="83"/>
      <c r="V19" s="280"/>
      <c r="W19" s="83"/>
      <c r="X19" s="83"/>
      <c r="Z19" s="100"/>
      <c r="AA19" s="100"/>
      <c r="AB19" s="100"/>
      <c r="AD19" s="100"/>
      <c r="AE19" s="100"/>
      <c r="AF19" s="100"/>
      <c r="AH19" s="100"/>
      <c r="AI19" s="100"/>
      <c r="AJ19" s="100"/>
      <c r="AL19" s="100"/>
      <c r="AM19" s="100"/>
      <c r="AN19" s="100"/>
    </row>
    <row r="20" spans="2:40" ht="15" customHeight="1" hidden="1">
      <c r="B20" s="83"/>
      <c r="C20" s="280"/>
      <c r="D20" s="280"/>
      <c r="E20" s="290"/>
      <c r="F20" s="373"/>
      <c r="G20" s="374"/>
      <c r="H20" s="375"/>
      <c r="I20" s="289"/>
      <c r="J20" s="376"/>
      <c r="M20" s="83"/>
      <c r="N20" s="280"/>
      <c r="O20" s="100"/>
      <c r="R20" s="83"/>
      <c r="S20" s="83"/>
      <c r="T20" s="190"/>
      <c r="U20" s="83"/>
      <c r="V20" s="280"/>
      <c r="W20" s="83"/>
      <c r="X20" s="83"/>
      <c r="Z20" s="100"/>
      <c r="AA20" s="100"/>
      <c r="AB20" s="100"/>
      <c r="AD20" s="100"/>
      <c r="AE20" s="100"/>
      <c r="AF20" s="100"/>
      <c r="AH20" s="100"/>
      <c r="AI20" s="100"/>
      <c r="AJ20" s="100"/>
      <c r="AL20" s="100"/>
      <c r="AM20" s="100"/>
      <c r="AN20" s="100"/>
    </row>
    <row r="21" spans="2:40" ht="15" customHeight="1" hidden="1">
      <c r="B21" s="83"/>
      <c r="C21" s="280"/>
      <c r="D21" s="280"/>
      <c r="E21" s="290"/>
      <c r="F21" s="373"/>
      <c r="G21" s="374"/>
      <c r="H21" s="375"/>
      <c r="I21" s="289"/>
      <c r="J21" s="376"/>
      <c r="M21" s="83"/>
      <c r="N21" s="280"/>
      <c r="O21" s="100"/>
      <c r="R21" s="83"/>
      <c r="S21" s="83"/>
      <c r="T21" s="190"/>
      <c r="U21" s="83"/>
      <c r="V21" s="280"/>
      <c r="W21" s="83"/>
      <c r="X21" s="83"/>
      <c r="Z21" s="100"/>
      <c r="AA21" s="100"/>
      <c r="AB21" s="100"/>
      <c r="AD21" s="100"/>
      <c r="AE21" s="100"/>
      <c r="AF21" s="100"/>
      <c r="AH21" s="100"/>
      <c r="AI21" s="100"/>
      <c r="AJ21" s="100"/>
      <c r="AL21" s="100"/>
      <c r="AM21" s="100"/>
      <c r="AN21" s="100"/>
    </row>
    <row r="22" spans="2:40" ht="15" customHeight="1" hidden="1">
      <c r="B22" s="83"/>
      <c r="C22" s="280"/>
      <c r="D22" s="280"/>
      <c r="E22" s="290"/>
      <c r="F22" s="373"/>
      <c r="G22" s="374"/>
      <c r="H22" s="375"/>
      <c r="I22" s="289"/>
      <c r="J22" s="376"/>
      <c r="M22" s="83"/>
      <c r="N22" s="280"/>
      <c r="O22" s="100"/>
      <c r="R22" s="83"/>
      <c r="S22" s="83"/>
      <c r="T22" s="190"/>
      <c r="U22" s="83"/>
      <c r="V22" s="280"/>
      <c r="W22" s="83"/>
      <c r="X22" s="83"/>
      <c r="Z22" s="100"/>
      <c r="AA22" s="100"/>
      <c r="AB22" s="100"/>
      <c r="AD22" s="100"/>
      <c r="AE22" s="100"/>
      <c r="AF22" s="100"/>
      <c r="AH22" s="100"/>
      <c r="AI22" s="100"/>
      <c r="AJ22" s="100"/>
      <c r="AL22" s="100"/>
      <c r="AM22" s="100"/>
      <c r="AN22" s="100"/>
    </row>
    <row r="23" spans="2:40" ht="15" customHeight="1" hidden="1">
      <c r="B23" s="83"/>
      <c r="M23" s="83"/>
      <c r="N23" s="100"/>
      <c r="O23" s="100"/>
      <c r="S23" s="100"/>
      <c r="T23" s="190"/>
      <c r="U23" s="83"/>
      <c r="V23" s="100"/>
      <c r="W23" s="100"/>
      <c r="X23" s="100"/>
      <c r="Z23" s="100"/>
      <c r="AA23" s="100"/>
      <c r="AB23" s="100"/>
      <c r="AD23" s="100"/>
      <c r="AE23" s="100"/>
      <c r="AF23" s="100"/>
      <c r="AH23" s="100"/>
      <c r="AI23" s="100"/>
      <c r="AJ23" s="100"/>
      <c r="AL23" s="100"/>
      <c r="AM23" s="100"/>
      <c r="AN23" s="100"/>
    </row>
    <row r="24" spans="2:40" ht="15" customHeight="1" hidden="1">
      <c r="B24" s="83"/>
      <c r="C24" s="280"/>
      <c r="D24" s="280"/>
      <c r="E24" s="290"/>
      <c r="F24" s="373"/>
      <c r="G24" s="374"/>
      <c r="H24" s="375"/>
      <c r="I24" s="289"/>
      <c r="J24" s="376"/>
      <c r="M24" s="83"/>
      <c r="N24" s="280"/>
      <c r="O24" s="100"/>
      <c r="R24" s="83"/>
      <c r="S24" s="83"/>
      <c r="T24" s="190"/>
      <c r="U24" s="83"/>
      <c r="V24" s="280"/>
      <c r="W24" s="83"/>
      <c r="X24" s="83"/>
      <c r="Z24" s="100"/>
      <c r="AA24" s="100"/>
      <c r="AB24" s="100"/>
      <c r="AD24" s="100"/>
      <c r="AE24" s="100"/>
      <c r="AF24" s="100"/>
      <c r="AH24" s="100"/>
      <c r="AI24" s="100"/>
      <c r="AJ24" s="100"/>
      <c r="AL24" s="100"/>
      <c r="AM24" s="100"/>
      <c r="AN24" s="100"/>
    </row>
    <row r="25" spans="2:40" ht="15" customHeight="1" hidden="1">
      <c r="B25" s="83"/>
      <c r="C25" s="280"/>
      <c r="D25" s="280"/>
      <c r="E25" s="290"/>
      <c r="F25" s="373"/>
      <c r="G25" s="374"/>
      <c r="H25" s="375"/>
      <c r="I25" s="289"/>
      <c r="J25" s="376"/>
      <c r="M25" s="83"/>
      <c r="N25" s="280"/>
      <c r="O25" s="100"/>
      <c r="R25" s="83"/>
      <c r="S25" s="83"/>
      <c r="T25" s="190"/>
      <c r="U25" s="83"/>
      <c r="V25" s="280"/>
      <c r="W25" s="83"/>
      <c r="X25" s="83"/>
      <c r="Z25" s="100"/>
      <c r="AA25" s="100"/>
      <c r="AB25" s="100"/>
      <c r="AD25" s="100"/>
      <c r="AE25" s="100"/>
      <c r="AF25" s="100"/>
      <c r="AH25" s="100"/>
      <c r="AI25" s="100"/>
      <c r="AJ25" s="100"/>
      <c r="AL25" s="100"/>
      <c r="AM25" s="100"/>
      <c r="AN25" s="100"/>
    </row>
    <row r="26" spans="2:40" ht="15" customHeight="1" hidden="1">
      <c r="B26" s="83"/>
      <c r="C26" s="280"/>
      <c r="D26" s="280"/>
      <c r="E26" s="290"/>
      <c r="F26" s="373"/>
      <c r="G26" s="374"/>
      <c r="H26" s="375"/>
      <c r="I26" s="289"/>
      <c r="J26" s="376"/>
      <c r="M26" s="83"/>
      <c r="N26" s="280"/>
      <c r="O26" s="100"/>
      <c r="R26" s="83"/>
      <c r="S26" s="83"/>
      <c r="T26" s="190"/>
      <c r="U26" s="83"/>
      <c r="V26" s="280"/>
      <c r="W26" s="83"/>
      <c r="X26" s="83"/>
      <c r="Z26" s="100"/>
      <c r="AA26" s="100"/>
      <c r="AB26" s="100"/>
      <c r="AD26" s="100"/>
      <c r="AE26" s="100"/>
      <c r="AF26" s="100"/>
      <c r="AH26" s="100"/>
      <c r="AI26" s="100"/>
      <c r="AJ26" s="100"/>
      <c r="AL26" s="100"/>
      <c r="AM26" s="100"/>
      <c r="AN26" s="100"/>
    </row>
    <row r="27" spans="3:40" ht="15" customHeight="1" hidden="1">
      <c r="C27" s="280"/>
      <c r="D27" s="280"/>
      <c r="E27" s="290"/>
      <c r="F27" s="373"/>
      <c r="G27" s="374"/>
      <c r="H27" s="375"/>
      <c r="I27" s="289"/>
      <c r="J27" s="376"/>
      <c r="M27" s="100"/>
      <c r="N27" s="280"/>
      <c r="O27" s="100"/>
      <c r="R27" s="83"/>
      <c r="S27" s="83"/>
      <c r="T27" s="190"/>
      <c r="U27" s="100"/>
      <c r="V27" s="280"/>
      <c r="W27" s="83"/>
      <c r="X27" s="83"/>
      <c r="Z27" s="100"/>
      <c r="AA27" s="100"/>
      <c r="AB27" s="100"/>
      <c r="AD27" s="100"/>
      <c r="AE27" s="100"/>
      <c r="AF27" s="100"/>
      <c r="AH27" s="100"/>
      <c r="AI27" s="100"/>
      <c r="AJ27" s="100"/>
      <c r="AL27" s="100"/>
      <c r="AM27" s="100"/>
      <c r="AN27" s="100"/>
    </row>
    <row r="28" spans="2:40" ht="15" customHeight="1" hidden="1">
      <c r="B28" s="83"/>
      <c r="M28" s="83"/>
      <c r="N28" s="100"/>
      <c r="O28" s="100"/>
      <c r="S28" s="100"/>
      <c r="T28" s="100"/>
      <c r="U28" s="83"/>
      <c r="V28" s="100"/>
      <c r="W28" s="100"/>
      <c r="X28" s="100"/>
      <c r="Z28" s="100"/>
      <c r="AA28" s="100"/>
      <c r="AB28" s="100"/>
      <c r="AD28" s="100"/>
      <c r="AE28" s="100"/>
      <c r="AF28" s="100"/>
      <c r="AH28" s="100"/>
      <c r="AI28" s="100"/>
      <c r="AJ28" s="100"/>
      <c r="AL28" s="100"/>
      <c r="AM28" s="100"/>
      <c r="AN28" s="100"/>
    </row>
    <row r="29" spans="2:40" ht="15" customHeight="1" hidden="1">
      <c r="B29" s="83"/>
      <c r="C29" s="280"/>
      <c r="D29" s="280"/>
      <c r="E29" s="290"/>
      <c r="F29" s="373"/>
      <c r="G29" s="374"/>
      <c r="H29" s="375"/>
      <c r="I29" s="289"/>
      <c r="J29" s="376"/>
      <c r="M29" s="83"/>
      <c r="N29" s="280"/>
      <c r="O29" s="100"/>
      <c r="R29" s="83"/>
      <c r="S29" s="83"/>
      <c r="T29" s="100"/>
      <c r="U29" s="83"/>
      <c r="V29" s="280"/>
      <c r="W29" s="83"/>
      <c r="X29" s="83"/>
      <c r="Z29" s="100"/>
      <c r="AA29" s="100"/>
      <c r="AB29" s="100"/>
      <c r="AD29" s="100"/>
      <c r="AE29" s="100"/>
      <c r="AF29" s="100"/>
      <c r="AH29" s="100"/>
      <c r="AI29" s="100"/>
      <c r="AJ29" s="100"/>
      <c r="AL29" s="100"/>
      <c r="AM29" s="100"/>
      <c r="AN29" s="100"/>
    </row>
    <row r="30" spans="3:40" ht="15" customHeight="1" hidden="1">
      <c r="C30" s="280"/>
      <c r="D30" s="280"/>
      <c r="E30" s="290"/>
      <c r="F30" s="373"/>
      <c r="G30" s="374"/>
      <c r="H30" s="375"/>
      <c r="I30" s="289"/>
      <c r="J30" s="376"/>
      <c r="M30" s="100"/>
      <c r="N30" s="280"/>
      <c r="O30" s="100"/>
      <c r="R30" s="83"/>
      <c r="S30" s="83"/>
      <c r="T30" s="100"/>
      <c r="U30" s="100"/>
      <c r="V30" s="280"/>
      <c r="W30" s="83"/>
      <c r="X30" s="83"/>
      <c r="Z30" s="100"/>
      <c r="AA30" s="100"/>
      <c r="AB30" s="100"/>
      <c r="AD30" s="100"/>
      <c r="AE30" s="100"/>
      <c r="AF30" s="100"/>
      <c r="AH30" s="100"/>
      <c r="AI30" s="100"/>
      <c r="AJ30" s="100"/>
      <c r="AL30" s="100"/>
      <c r="AM30" s="100"/>
      <c r="AN30" s="100"/>
    </row>
    <row r="31" spans="2:40" ht="15" customHeight="1" hidden="1">
      <c r="B31" s="83"/>
      <c r="C31" s="280"/>
      <c r="D31" s="280"/>
      <c r="E31" s="290"/>
      <c r="F31" s="373"/>
      <c r="G31" s="374"/>
      <c r="H31" s="375"/>
      <c r="I31" s="289"/>
      <c r="J31" s="376"/>
      <c r="M31" s="83"/>
      <c r="N31" s="280"/>
      <c r="O31" s="100"/>
      <c r="R31" s="83"/>
      <c r="S31" s="83"/>
      <c r="T31" s="100"/>
      <c r="U31" s="83"/>
      <c r="V31" s="280"/>
      <c r="W31" s="83"/>
      <c r="X31" s="83"/>
      <c r="Z31" s="100"/>
      <c r="AA31" s="100"/>
      <c r="AB31" s="100"/>
      <c r="AD31" s="100"/>
      <c r="AE31" s="100"/>
      <c r="AF31" s="100"/>
      <c r="AH31" s="100"/>
      <c r="AI31" s="100"/>
      <c r="AJ31" s="100"/>
      <c r="AL31" s="100"/>
      <c r="AM31" s="100"/>
      <c r="AN31" s="100"/>
    </row>
    <row r="32" spans="2:40" ht="15" customHeight="1" hidden="1">
      <c r="B32" s="83"/>
      <c r="C32" s="280"/>
      <c r="D32" s="280"/>
      <c r="E32" s="290"/>
      <c r="F32" s="373"/>
      <c r="G32" s="374"/>
      <c r="H32" s="375"/>
      <c r="I32" s="289"/>
      <c r="J32" s="376"/>
      <c r="M32" s="83"/>
      <c r="N32" s="280"/>
      <c r="O32" s="100"/>
      <c r="R32" s="83"/>
      <c r="S32" s="83"/>
      <c r="T32" s="100"/>
      <c r="U32" s="83"/>
      <c r="V32" s="280"/>
      <c r="W32" s="83"/>
      <c r="X32" s="83"/>
      <c r="Z32" s="100"/>
      <c r="AA32" s="100"/>
      <c r="AB32" s="100"/>
      <c r="AD32" s="100"/>
      <c r="AE32" s="100"/>
      <c r="AF32" s="100"/>
      <c r="AH32" s="100"/>
      <c r="AI32" s="100"/>
      <c r="AJ32" s="100"/>
      <c r="AL32" s="100"/>
      <c r="AM32" s="100"/>
      <c r="AN32" s="100"/>
    </row>
    <row r="33" spans="2:40" ht="15" customHeight="1" hidden="1">
      <c r="B33" s="83"/>
      <c r="C33" s="83"/>
      <c r="D33" s="83"/>
      <c r="E33" s="290"/>
      <c r="F33" s="373"/>
      <c r="G33" s="374"/>
      <c r="H33" s="375"/>
      <c r="I33" s="289"/>
      <c r="J33" s="77"/>
      <c r="M33" s="83"/>
      <c r="N33" s="83"/>
      <c r="O33" s="100"/>
      <c r="R33" s="190"/>
      <c r="S33" s="190"/>
      <c r="T33" s="100"/>
      <c r="U33" s="83"/>
      <c r="V33" s="83"/>
      <c r="W33" s="190"/>
      <c r="X33" s="190"/>
      <c r="Z33" s="100"/>
      <c r="AA33" s="100"/>
      <c r="AB33" s="100"/>
      <c r="AD33" s="100"/>
      <c r="AE33" s="100"/>
      <c r="AF33" s="100"/>
      <c r="AH33" s="100"/>
      <c r="AI33" s="100"/>
      <c r="AJ33" s="100"/>
      <c r="AL33" s="100"/>
      <c r="AM33" s="100"/>
      <c r="AN33" s="100"/>
    </row>
    <row r="34" spans="2:40" ht="15" customHeight="1" hidden="1">
      <c r="B34" s="83"/>
      <c r="C34" s="280"/>
      <c r="D34" s="280"/>
      <c r="E34" s="290"/>
      <c r="F34" s="373"/>
      <c r="G34" s="374"/>
      <c r="H34" s="375"/>
      <c r="I34" s="289"/>
      <c r="J34" s="376"/>
      <c r="M34" s="83"/>
      <c r="N34" s="280"/>
      <c r="O34" s="100"/>
      <c r="R34" s="83"/>
      <c r="S34" s="83"/>
      <c r="T34" s="100"/>
      <c r="U34" s="83"/>
      <c r="V34" s="280"/>
      <c r="W34" s="83"/>
      <c r="X34" s="83"/>
      <c r="Z34" s="100"/>
      <c r="AA34" s="100"/>
      <c r="AB34" s="100"/>
      <c r="AD34" s="100"/>
      <c r="AE34" s="100"/>
      <c r="AF34" s="100"/>
      <c r="AH34" s="100"/>
      <c r="AI34" s="100"/>
      <c r="AJ34" s="100"/>
      <c r="AL34" s="100"/>
      <c r="AM34" s="100"/>
      <c r="AN34" s="100"/>
    </row>
    <row r="35" spans="2:40" ht="15" customHeight="1" hidden="1">
      <c r="B35" s="83"/>
      <c r="C35" s="280"/>
      <c r="D35" s="280"/>
      <c r="E35" s="290"/>
      <c r="F35" s="373"/>
      <c r="G35" s="374"/>
      <c r="H35" s="375"/>
      <c r="I35" s="289"/>
      <c r="J35" s="376"/>
      <c r="M35" s="83"/>
      <c r="N35" s="280"/>
      <c r="O35" s="100"/>
      <c r="R35" s="83"/>
      <c r="S35" s="83"/>
      <c r="T35" s="100"/>
      <c r="U35" s="83"/>
      <c r="V35" s="280"/>
      <c r="W35" s="83"/>
      <c r="X35" s="83"/>
      <c r="Z35" s="100"/>
      <c r="AA35" s="100"/>
      <c r="AB35" s="100"/>
      <c r="AD35" s="100"/>
      <c r="AE35" s="100"/>
      <c r="AF35" s="100"/>
      <c r="AH35" s="100"/>
      <c r="AI35" s="100"/>
      <c r="AJ35" s="100"/>
      <c r="AL35" s="100"/>
      <c r="AM35" s="100"/>
      <c r="AN35" s="100"/>
    </row>
    <row r="36" spans="2:40" ht="15" customHeight="1" hidden="1">
      <c r="B36" s="83"/>
      <c r="C36" s="280"/>
      <c r="D36" s="280"/>
      <c r="E36" s="290"/>
      <c r="F36" s="373"/>
      <c r="G36" s="374"/>
      <c r="H36" s="375"/>
      <c r="I36" s="289"/>
      <c r="J36" s="376"/>
      <c r="M36" s="83"/>
      <c r="N36" s="280"/>
      <c r="O36" s="100"/>
      <c r="R36" s="83"/>
      <c r="S36" s="83"/>
      <c r="T36" s="100"/>
      <c r="U36" s="83"/>
      <c r="V36" s="280"/>
      <c r="W36" s="83"/>
      <c r="X36" s="83"/>
      <c r="Z36" s="100"/>
      <c r="AA36" s="100"/>
      <c r="AB36" s="100"/>
      <c r="AD36" s="100"/>
      <c r="AE36" s="100"/>
      <c r="AF36" s="100"/>
      <c r="AH36" s="100"/>
      <c r="AI36" s="100"/>
      <c r="AJ36" s="100"/>
      <c r="AL36" s="100"/>
      <c r="AM36" s="100"/>
      <c r="AN36" s="100"/>
    </row>
    <row r="37" spans="2:40" ht="15" customHeight="1" hidden="1">
      <c r="B37" s="83"/>
      <c r="C37" s="280"/>
      <c r="D37" s="280"/>
      <c r="E37" s="290"/>
      <c r="F37" s="373"/>
      <c r="G37" s="374"/>
      <c r="H37" s="375"/>
      <c r="I37" s="289"/>
      <c r="J37" s="376"/>
      <c r="M37" s="83"/>
      <c r="N37" s="280"/>
      <c r="O37" s="100"/>
      <c r="R37" s="83"/>
      <c r="S37" s="83"/>
      <c r="T37" s="100"/>
      <c r="U37" s="83"/>
      <c r="V37" s="280"/>
      <c r="W37" s="83"/>
      <c r="X37" s="83"/>
      <c r="Z37" s="100"/>
      <c r="AA37" s="100"/>
      <c r="AB37" s="100"/>
      <c r="AD37" s="100"/>
      <c r="AE37" s="100"/>
      <c r="AF37" s="100"/>
      <c r="AH37" s="100"/>
      <c r="AI37" s="100"/>
      <c r="AJ37" s="100"/>
      <c r="AL37" s="100"/>
      <c r="AM37" s="100"/>
      <c r="AN37" s="100"/>
    </row>
    <row r="38" spans="2:40" ht="15" customHeight="1" hidden="1">
      <c r="B38" s="83"/>
      <c r="M38" s="83"/>
      <c r="N38" s="100"/>
      <c r="O38" s="100"/>
      <c r="S38" s="100"/>
      <c r="T38" s="100"/>
      <c r="U38" s="83"/>
      <c r="V38" s="100"/>
      <c r="W38" s="100"/>
      <c r="X38" s="100"/>
      <c r="Z38" s="100"/>
      <c r="AA38" s="100"/>
      <c r="AB38" s="100"/>
      <c r="AD38" s="100"/>
      <c r="AE38" s="100"/>
      <c r="AF38" s="100"/>
      <c r="AH38" s="100"/>
      <c r="AI38" s="100"/>
      <c r="AJ38" s="100"/>
      <c r="AL38" s="100"/>
      <c r="AM38" s="100"/>
      <c r="AN38" s="100"/>
    </row>
    <row r="39" spans="2:40" ht="15" customHeight="1" hidden="1">
      <c r="B39" s="83"/>
      <c r="C39" s="280"/>
      <c r="D39" s="280"/>
      <c r="E39" s="290"/>
      <c r="F39" s="373"/>
      <c r="G39" s="374"/>
      <c r="H39" s="375"/>
      <c r="I39" s="289"/>
      <c r="J39" s="376"/>
      <c r="M39" s="83"/>
      <c r="N39" s="280"/>
      <c r="O39" s="100"/>
      <c r="R39" s="83"/>
      <c r="S39" s="83"/>
      <c r="T39" s="100"/>
      <c r="U39" s="83"/>
      <c r="V39" s="280"/>
      <c r="W39" s="83"/>
      <c r="X39" s="83"/>
      <c r="Z39" s="100"/>
      <c r="AA39" s="100"/>
      <c r="AB39" s="100"/>
      <c r="AD39" s="100"/>
      <c r="AE39" s="100"/>
      <c r="AF39" s="100"/>
      <c r="AH39" s="100"/>
      <c r="AI39" s="100"/>
      <c r="AJ39" s="100"/>
      <c r="AL39" s="100"/>
      <c r="AM39" s="100"/>
      <c r="AN39" s="100"/>
    </row>
    <row r="40" spans="2:40" ht="15" customHeight="1" hidden="1">
      <c r="B40" s="83"/>
      <c r="C40" s="280"/>
      <c r="D40" s="280"/>
      <c r="E40" s="290"/>
      <c r="F40" s="373"/>
      <c r="G40" s="374"/>
      <c r="H40" s="375"/>
      <c r="I40" s="289"/>
      <c r="J40" s="376"/>
      <c r="M40" s="83"/>
      <c r="N40" s="280"/>
      <c r="O40" s="100"/>
      <c r="R40" s="83"/>
      <c r="S40" s="83"/>
      <c r="T40" s="100"/>
      <c r="U40" s="83"/>
      <c r="V40" s="280"/>
      <c r="W40" s="83"/>
      <c r="X40" s="83"/>
      <c r="Z40" s="100"/>
      <c r="AA40" s="100"/>
      <c r="AB40" s="100"/>
      <c r="AD40" s="100"/>
      <c r="AE40" s="100"/>
      <c r="AF40" s="100"/>
      <c r="AH40" s="100"/>
      <c r="AI40" s="100"/>
      <c r="AJ40" s="100"/>
      <c r="AL40" s="100"/>
      <c r="AM40" s="100"/>
      <c r="AN40" s="100"/>
    </row>
    <row r="41" spans="2:40" ht="15" customHeight="1" hidden="1">
      <c r="B41" s="83"/>
      <c r="C41" s="280"/>
      <c r="D41" s="280"/>
      <c r="E41" s="290"/>
      <c r="F41" s="373"/>
      <c r="G41" s="374"/>
      <c r="H41" s="375"/>
      <c r="I41" s="289"/>
      <c r="J41" s="376"/>
      <c r="M41" s="83"/>
      <c r="N41" s="280"/>
      <c r="O41" s="100"/>
      <c r="R41" s="83"/>
      <c r="S41" s="83"/>
      <c r="T41" s="100"/>
      <c r="U41" s="83"/>
      <c r="V41" s="280"/>
      <c r="W41" s="83"/>
      <c r="X41" s="83"/>
      <c r="Z41" s="100"/>
      <c r="AA41" s="100"/>
      <c r="AB41" s="100"/>
      <c r="AD41" s="100"/>
      <c r="AE41" s="100"/>
      <c r="AF41" s="100"/>
      <c r="AH41" s="100"/>
      <c r="AI41" s="100"/>
      <c r="AJ41" s="100"/>
      <c r="AL41" s="100"/>
      <c r="AM41" s="100"/>
      <c r="AN41" s="100"/>
    </row>
    <row r="42" spans="3:40" ht="15" customHeight="1" hidden="1">
      <c r="C42" s="280"/>
      <c r="D42" s="280"/>
      <c r="E42" s="290"/>
      <c r="F42" s="373"/>
      <c r="G42" s="374"/>
      <c r="H42" s="375"/>
      <c r="I42" s="289"/>
      <c r="J42" s="376"/>
      <c r="M42" s="100"/>
      <c r="N42" s="280"/>
      <c r="O42" s="100"/>
      <c r="R42" s="83"/>
      <c r="S42" s="83"/>
      <c r="T42" s="100"/>
      <c r="U42" s="100"/>
      <c r="V42" s="280"/>
      <c r="W42" s="83"/>
      <c r="X42" s="83"/>
      <c r="Z42" s="100"/>
      <c r="AA42" s="100"/>
      <c r="AB42" s="100"/>
      <c r="AD42" s="100"/>
      <c r="AE42" s="100"/>
      <c r="AF42" s="100"/>
      <c r="AH42" s="100"/>
      <c r="AI42" s="100"/>
      <c r="AJ42" s="100"/>
      <c r="AL42" s="100"/>
      <c r="AM42" s="100"/>
      <c r="AN42" s="100"/>
    </row>
    <row r="43" spans="2:40" ht="15" customHeight="1" hidden="1">
      <c r="B43" s="83"/>
      <c r="E43" s="100"/>
      <c r="F43" s="100"/>
      <c r="G43" s="100"/>
      <c r="H43" s="100"/>
      <c r="I43" s="100"/>
      <c r="M43" s="83"/>
      <c r="N43" s="100"/>
      <c r="O43" s="100"/>
      <c r="S43" s="100"/>
      <c r="T43" s="100"/>
      <c r="U43" s="83"/>
      <c r="V43" s="100"/>
      <c r="W43" s="100"/>
      <c r="X43" s="100"/>
      <c r="Z43" s="100"/>
      <c r="AA43" s="100"/>
      <c r="AB43" s="100"/>
      <c r="AD43" s="100"/>
      <c r="AE43" s="100"/>
      <c r="AF43" s="100"/>
      <c r="AH43" s="100"/>
      <c r="AI43" s="100"/>
      <c r="AJ43" s="100"/>
      <c r="AL43" s="100"/>
      <c r="AM43" s="100"/>
      <c r="AN43" s="100"/>
    </row>
    <row r="44" spans="2:40" ht="15" customHeight="1" hidden="1">
      <c r="B44" s="83"/>
      <c r="C44" s="280"/>
      <c r="D44" s="280"/>
      <c r="E44" s="290"/>
      <c r="F44" s="373"/>
      <c r="G44" s="374"/>
      <c r="H44" s="375"/>
      <c r="I44" s="289"/>
      <c r="J44" s="376"/>
      <c r="M44" s="83"/>
      <c r="N44" s="280"/>
      <c r="O44" s="100"/>
      <c r="R44" s="83"/>
      <c r="S44" s="83"/>
      <c r="T44" s="100"/>
      <c r="U44" s="83"/>
      <c r="V44" s="280"/>
      <c r="W44" s="83"/>
      <c r="X44" s="83"/>
      <c r="Z44" s="100"/>
      <c r="AA44" s="100"/>
      <c r="AB44" s="100"/>
      <c r="AD44" s="100"/>
      <c r="AE44" s="100"/>
      <c r="AF44" s="100"/>
      <c r="AH44" s="100"/>
      <c r="AI44" s="100"/>
      <c r="AJ44" s="100"/>
      <c r="AL44" s="100"/>
      <c r="AM44" s="100"/>
      <c r="AN44" s="100"/>
    </row>
    <row r="45" spans="2:40" ht="15" customHeight="1" hidden="1">
      <c r="B45" s="83"/>
      <c r="C45" s="280"/>
      <c r="D45" s="280"/>
      <c r="E45" s="290"/>
      <c r="F45" s="373"/>
      <c r="G45" s="374"/>
      <c r="H45" s="375"/>
      <c r="I45" s="289"/>
      <c r="J45" s="376"/>
      <c r="M45" s="83"/>
      <c r="N45" s="280"/>
      <c r="O45" s="100"/>
      <c r="R45" s="83"/>
      <c r="S45" s="83"/>
      <c r="T45" s="100"/>
      <c r="U45" s="83"/>
      <c r="V45" s="280"/>
      <c r="W45" s="83"/>
      <c r="X45" s="83"/>
      <c r="Z45" s="100"/>
      <c r="AA45" s="100"/>
      <c r="AB45" s="100"/>
      <c r="AD45" s="100"/>
      <c r="AE45" s="100"/>
      <c r="AF45" s="100"/>
      <c r="AH45" s="100"/>
      <c r="AI45" s="100"/>
      <c r="AJ45" s="100"/>
      <c r="AL45" s="100"/>
      <c r="AM45" s="100"/>
      <c r="AN45" s="100"/>
    </row>
    <row r="46" spans="3:40" ht="15" customHeight="1" hidden="1">
      <c r="C46" s="280"/>
      <c r="D46" s="280"/>
      <c r="E46" s="290"/>
      <c r="F46" s="373"/>
      <c r="G46" s="374"/>
      <c r="H46" s="375"/>
      <c r="I46" s="289"/>
      <c r="J46" s="376"/>
      <c r="M46" s="100"/>
      <c r="N46" s="280"/>
      <c r="O46" s="100"/>
      <c r="R46" s="83"/>
      <c r="S46" s="83"/>
      <c r="T46" s="100"/>
      <c r="U46" s="100"/>
      <c r="V46" s="280"/>
      <c r="W46" s="83"/>
      <c r="X46" s="83"/>
      <c r="Z46" s="100"/>
      <c r="AA46" s="100"/>
      <c r="AB46" s="100"/>
      <c r="AD46" s="100"/>
      <c r="AE46" s="100"/>
      <c r="AF46" s="100"/>
      <c r="AH46" s="100"/>
      <c r="AI46" s="100"/>
      <c r="AJ46" s="100"/>
      <c r="AL46" s="100"/>
      <c r="AM46" s="100"/>
      <c r="AN46" s="100"/>
    </row>
    <row r="47" spans="2:40" ht="15" customHeight="1" hidden="1">
      <c r="B47" s="83"/>
      <c r="C47" s="280"/>
      <c r="D47" s="280"/>
      <c r="E47" s="290"/>
      <c r="F47" s="373"/>
      <c r="G47" s="374"/>
      <c r="H47" s="375"/>
      <c r="I47" s="289"/>
      <c r="J47" s="376"/>
      <c r="M47" s="83"/>
      <c r="N47" s="280"/>
      <c r="O47" s="100"/>
      <c r="R47" s="83"/>
      <c r="S47" s="83"/>
      <c r="T47" s="100"/>
      <c r="U47" s="83"/>
      <c r="V47" s="280"/>
      <c r="W47" s="83"/>
      <c r="X47" s="83"/>
      <c r="Z47" s="100"/>
      <c r="AA47" s="100"/>
      <c r="AB47" s="100"/>
      <c r="AD47" s="100"/>
      <c r="AE47" s="100"/>
      <c r="AF47" s="100"/>
      <c r="AH47" s="100"/>
      <c r="AI47" s="100"/>
      <c r="AJ47" s="100"/>
      <c r="AL47" s="100"/>
      <c r="AM47" s="100"/>
      <c r="AN47" s="100"/>
    </row>
    <row r="48" spans="5:13" ht="15" customHeight="1" hidden="1">
      <c r="E48" s="100"/>
      <c r="F48" s="100"/>
      <c r="G48" s="100"/>
      <c r="H48" s="100"/>
      <c r="I48" s="100"/>
      <c r="M48" s="100"/>
    </row>
    <row r="49" spans="2:13" ht="15" customHeight="1">
      <c r="B49" s="150" t="s">
        <v>100</v>
      </c>
      <c r="H49" s="156">
        <f>INT(J49/2+1)</f>
        <v>3</v>
      </c>
      <c r="I49" s="115" t="s">
        <v>19</v>
      </c>
      <c r="J49" s="150">
        <v>5</v>
      </c>
      <c r="M49" s="100"/>
    </row>
    <row r="50" spans="2:13" ht="15" customHeight="1">
      <c r="B50" s="132" t="s">
        <v>17</v>
      </c>
      <c r="C50" s="132" t="s">
        <v>12</v>
      </c>
      <c r="D50" s="133"/>
      <c r="E50" s="134" t="s">
        <v>13</v>
      </c>
      <c r="F50" s="153"/>
      <c r="G50" s="135"/>
      <c r="H50" s="157"/>
      <c r="I50" s="136" t="str">
        <f>I3</f>
        <v>Blauw</v>
      </c>
      <c r="J50" s="137"/>
      <c r="M50" s="100"/>
    </row>
    <row r="51" spans="2:13" ht="15" customHeight="1">
      <c r="B51" s="138">
        <f>'BayernXpress I'!$X$2</f>
        <v>1</v>
      </c>
      <c r="C51" s="132">
        <v>1</v>
      </c>
      <c r="D51" s="133" t="str">
        <f>VLOOKUP(C51&amp;$E$50,'DE4'!$M$10:$O$24,3,FALSE)</f>
        <v># 1</v>
      </c>
      <c r="E51" s="134" t="str">
        <f>VLOOKUP(D51,'DE4'!$O$10:$R$24,4,FALSE)</f>
        <v>Flying Stars</v>
      </c>
      <c r="F51" s="154">
        <f>VLOOKUP(D51,'DE4'!$O$10:$AQ$24,28,FALSE)</f>
        <v>1</v>
      </c>
      <c r="G51" s="135" t="s">
        <v>1</v>
      </c>
      <c r="H51" s="158">
        <f>VLOOKUP(J51,'DE4'!$O$10:$AQ$24,28,FALSE)</f>
        <v>3</v>
      </c>
      <c r="I51" s="136" t="str">
        <f>VLOOKUP(J51,'DE4'!$O$10:$R$24,4,FALSE)</f>
        <v>Cool Racers</v>
      </c>
      <c r="J51" s="137" t="str">
        <f>VLOOKUP(C51&amp;$I$50,'DE4'!$M$10:$O$24,3,FALSE)</f>
        <v># 4</v>
      </c>
      <c r="M51" s="100"/>
    </row>
    <row r="52" spans="2:13" ht="15" customHeight="1">
      <c r="B52" s="140"/>
      <c r="C52" s="132">
        <v>2</v>
      </c>
      <c r="D52" s="133" t="str">
        <f>VLOOKUP(C52&amp;$E$50,'DE4'!$M$10:$O$24,3,FALSE)</f>
        <v># 2</v>
      </c>
      <c r="E52" s="134" t="str">
        <f>VLOOKUP(D52,'DE4'!$O$10:$R$24,4,FALSE)</f>
        <v>Fast'nFurious Flyballteam</v>
      </c>
      <c r="F52" s="154">
        <f>VLOOKUP(D52,'DE4'!$O$10:$AQ$24,28,FALSE)</f>
        <v>3</v>
      </c>
      <c r="G52" s="135" t="s">
        <v>1</v>
      </c>
      <c r="H52" s="158">
        <f>VLOOKUP(J52,'DE4'!$O$10:$AQ$24,28,FALSE)</f>
        <v>0</v>
      </c>
      <c r="I52" s="136" t="str">
        <f>VLOOKUP(J52,'DE4'!$O$10:$R$24,4,FALSE)</f>
        <v>BayernXpress I</v>
      </c>
      <c r="J52" s="137" t="str">
        <f>VLOOKUP(C52&amp;$I$50,'DE4'!$M$10:$O$24,3,FALSE)</f>
        <v># 3</v>
      </c>
      <c r="M52" s="100"/>
    </row>
    <row r="53" spans="2:13" ht="15" customHeight="1">
      <c r="B53" s="371"/>
      <c r="J53" s="423"/>
      <c r="M53" s="100"/>
    </row>
    <row r="54" spans="2:13" ht="15" customHeight="1">
      <c r="B54" s="138">
        <f>'BayernXpress I'!$X$2</f>
        <v>1</v>
      </c>
      <c r="C54" s="132">
        <v>3</v>
      </c>
      <c r="D54" s="133" t="str">
        <f>VLOOKUP(C54&amp;$E$50,'DE4'!$M$10:$O$24,3,FALSE)</f>
        <v>w1</v>
      </c>
      <c r="E54" s="134" t="str">
        <f>VLOOKUP(D54,'DE4'!$O$10:$R$24,4,FALSE)</f>
        <v>Cool Racers</v>
      </c>
      <c r="F54" s="154">
        <f>VLOOKUP(D54,'DE4'!$O$10:$AQ$24,28,FALSE)</f>
        <v>3</v>
      </c>
      <c r="G54" s="135" t="s">
        <v>1</v>
      </c>
      <c r="H54" s="158">
        <f>VLOOKUP(J54,'DE4'!$O$10:$AQ$24,28,FALSE)</f>
        <v>2</v>
      </c>
      <c r="I54" s="136" t="str">
        <f>VLOOKUP(J54,'DE4'!$O$10:$R$24,4,FALSE)</f>
        <v>Fast'nFurious Flyballteam</v>
      </c>
      <c r="J54" s="137" t="str">
        <f>VLOOKUP(C54&amp;$I$50,'DE4'!$M$10:$O$24,3,FALSE)</f>
        <v>w2</v>
      </c>
      <c r="M54" s="100"/>
    </row>
    <row r="55" spans="2:13" ht="15" customHeight="1">
      <c r="B55" s="140"/>
      <c r="C55" s="132">
        <v>4</v>
      </c>
      <c r="D55" s="133" t="str">
        <f>VLOOKUP(C55&amp;$E$50,'DE4'!$M$10:$O$24,3,FALSE)</f>
        <v>L1</v>
      </c>
      <c r="E55" s="134" t="str">
        <f>VLOOKUP(D55,'DE4'!$O$10:$R$24,4,FALSE)</f>
        <v>Flying Stars</v>
      </c>
      <c r="F55" s="154">
        <f>VLOOKUP(D55,'DE4'!$O$10:$AQ$24,28,FALSE)</f>
        <v>2</v>
      </c>
      <c r="G55" s="135" t="s">
        <v>1</v>
      </c>
      <c r="H55" s="158">
        <f>VLOOKUP(J55,'DE4'!$O$10:$AQ$24,28,FALSE)</f>
        <v>3</v>
      </c>
      <c r="I55" s="136" t="str">
        <f>VLOOKUP(J55,'DE4'!$O$10:$R$24,4,FALSE)</f>
        <v>BayernXpress I</v>
      </c>
      <c r="J55" s="137" t="str">
        <f>VLOOKUP(C55&amp;$I$50,'DE4'!$M$10:$O$24,3,FALSE)</f>
        <v>L2</v>
      </c>
      <c r="M55" s="100"/>
    </row>
    <row r="56" spans="2:13" ht="15" customHeight="1">
      <c r="B56" s="371"/>
      <c r="J56" s="423"/>
      <c r="M56" s="100"/>
    </row>
    <row r="57" spans="2:13" ht="15" customHeight="1">
      <c r="B57" s="132">
        <f>'BayernXpress I'!$X$2</f>
        <v>1</v>
      </c>
      <c r="C57" s="132">
        <v>5</v>
      </c>
      <c r="D57" s="133" t="str">
        <f>VLOOKUP(C57&amp;$E$50,'DE4'!$M$10:$O$24,3,FALSE)</f>
        <v>l3</v>
      </c>
      <c r="E57" s="134" t="str">
        <f>VLOOKUP(D57,'DE4'!$O$10:$R$24,4,FALSE)</f>
        <v>Fast'nFurious Flyballteam</v>
      </c>
      <c r="F57" s="154">
        <f>VLOOKUP(D57,'DE4'!$O$10:$AQ$24,28,FALSE)</f>
        <v>2</v>
      </c>
      <c r="G57" s="135" t="s">
        <v>1</v>
      </c>
      <c r="H57" s="158">
        <f>VLOOKUP(J57,'DE4'!$O$10:$AQ$24,28,FALSE)</f>
        <v>3</v>
      </c>
      <c r="I57" s="136" t="str">
        <f>VLOOKUP(J57,'DE4'!$O$10:$R$24,4,FALSE)</f>
        <v>BayernXpress I</v>
      </c>
      <c r="J57" s="137" t="str">
        <f>VLOOKUP(C57&amp;$I$50,'DE4'!$M$10:$O$24,3,FALSE)</f>
        <v>w4</v>
      </c>
      <c r="M57" s="100"/>
    </row>
    <row r="58" spans="2:13" ht="15" customHeight="1">
      <c r="B58" s="371"/>
      <c r="J58" s="423"/>
      <c r="M58" s="100"/>
    </row>
    <row r="59" spans="2:13" ht="15" customHeight="1">
      <c r="B59" s="132">
        <f>'BayernXpress I'!$X$2</f>
        <v>1</v>
      </c>
      <c r="C59" s="132">
        <v>6</v>
      </c>
      <c r="D59" s="133" t="str">
        <f>VLOOKUP(C59&amp;$E$50,'DE4'!$M$10:$O$24,3,FALSE)</f>
        <v>w3</v>
      </c>
      <c r="E59" s="134" t="str">
        <f>VLOOKUP(D59,'DE4'!$O$10:$R$24,4,FALSE)</f>
        <v>Cool Racers</v>
      </c>
      <c r="F59" s="154">
        <f>VLOOKUP(D59,'DE4'!$O$10:$AQ$24,28,FALSE)</f>
        <v>3</v>
      </c>
      <c r="G59" s="135" t="s">
        <v>1</v>
      </c>
      <c r="H59" s="158">
        <f>VLOOKUP(J59,'DE4'!$O$10:$AQ$24,28,FALSE)</f>
        <v>0</v>
      </c>
      <c r="I59" s="136" t="str">
        <f>VLOOKUP(J59,'DE4'!$O$10:$R$24,4,FALSE)</f>
        <v>BayernXpress I</v>
      </c>
      <c r="J59" s="137" t="str">
        <f>VLOOKUP(C59&amp;$I$50,'DE4'!$M$10:$O$24,3,FALSE)</f>
        <v>w5</v>
      </c>
      <c r="M59" s="100"/>
    </row>
    <row r="60" spans="2:13" ht="15" customHeight="1">
      <c r="B60" s="371"/>
      <c r="J60" s="423"/>
      <c r="M60" s="100"/>
    </row>
    <row r="61" spans="2:13" ht="15" customHeight="1">
      <c r="B61" s="132">
        <f>'BayernXpress I'!$X$2</f>
        <v>1</v>
      </c>
      <c r="C61" s="132">
        <v>7</v>
      </c>
      <c r="D61" s="133" t="str">
        <f>VLOOKUP(C61&amp;$E$50,'DE4'!$M$10:$O$24,3,FALSE)</f>
        <v>w6</v>
      </c>
      <c r="E61" s="134">
        <f>VLOOKUP(D61,'DE4'!$O$10:$R$24,4,FALSE)</f>
      </c>
      <c r="F61" s="154">
        <f>VLOOKUP(D61,'DE4'!$O$10:$AQ$24,28,FALSE)</f>
      </c>
      <c r="G61" s="135" t="s">
        <v>1</v>
      </c>
      <c r="H61" s="158">
        <f>VLOOKUP(J61,'DE4'!$O$10:$AQ$24,28,FALSE)</f>
      </c>
      <c r="I61" s="136">
        <f>VLOOKUP(J61,'DE4'!$O$10:$R$24,4,FALSE)</f>
      </c>
      <c r="J61" s="137" t="str">
        <f>VLOOKUP(C61&amp;$I$50,'DE4'!$M$10:$O$24,3,FALSE)</f>
        <v>l6</v>
      </c>
      <c r="M61" s="100"/>
    </row>
    <row r="62" spans="3:13" ht="15" customHeight="1">
      <c r="C62" s="129"/>
      <c r="F62" s="195"/>
      <c r="H62" s="196"/>
      <c r="M62" s="100"/>
    </row>
    <row r="63" spans="6:13" ht="15" customHeight="1" hidden="1">
      <c r="F63" s="195"/>
      <c r="H63" s="196"/>
      <c r="M63" s="100"/>
    </row>
    <row r="64" ht="15" customHeight="1" hidden="1">
      <c r="M64" s="100"/>
    </row>
    <row r="65" spans="6:13" ht="15" customHeight="1" hidden="1">
      <c r="F65" s="195"/>
      <c r="H65" s="196"/>
      <c r="M65" s="100"/>
    </row>
    <row r="66" spans="6:13" ht="15" customHeight="1" hidden="1">
      <c r="F66" s="195"/>
      <c r="H66" s="196"/>
      <c r="M66" s="100"/>
    </row>
    <row r="67" spans="3:13" ht="15" customHeight="1" hidden="1">
      <c r="C67" s="129"/>
      <c r="F67" s="195"/>
      <c r="H67" s="196"/>
      <c r="M67" s="100"/>
    </row>
    <row r="68" spans="6:13" ht="15" customHeight="1" hidden="1">
      <c r="F68" s="195"/>
      <c r="H68" s="196"/>
      <c r="M68" s="100"/>
    </row>
    <row r="69" spans="6:13" ht="15" customHeight="1" hidden="1">
      <c r="F69" s="195"/>
      <c r="H69" s="196"/>
      <c r="M69" s="100"/>
    </row>
    <row r="70" spans="6:13" ht="15" customHeight="1" hidden="1">
      <c r="F70" s="195"/>
      <c r="H70" s="196"/>
      <c r="M70" s="100"/>
    </row>
    <row r="71" spans="3:13" ht="15" customHeight="1" hidden="1">
      <c r="C71" s="129"/>
      <c r="F71" s="195"/>
      <c r="H71" s="196"/>
      <c r="M71" s="100"/>
    </row>
    <row r="72" spans="6:13" ht="15" customHeight="1" hidden="1">
      <c r="F72" s="195"/>
      <c r="H72" s="196"/>
      <c r="M72" s="100"/>
    </row>
    <row r="73" spans="6:13" ht="15" customHeight="1" hidden="1">
      <c r="F73" s="195"/>
      <c r="H73" s="196"/>
      <c r="M73" s="100"/>
    </row>
    <row r="74" spans="6:13" ht="15" customHeight="1" hidden="1">
      <c r="F74" s="195"/>
      <c r="H74" s="196"/>
      <c r="M74" s="100"/>
    </row>
    <row r="75" spans="3:13" ht="15" customHeight="1" hidden="1">
      <c r="C75" s="129"/>
      <c r="D75" s="129"/>
      <c r="F75" s="195"/>
      <c r="H75" s="196"/>
      <c r="M75" s="100"/>
    </row>
    <row r="76" spans="6:13" ht="15" customHeight="1" hidden="1">
      <c r="F76" s="195"/>
      <c r="H76" s="196"/>
      <c r="M76" s="100"/>
    </row>
    <row r="77" spans="3:13" ht="15" customHeight="1" hidden="1">
      <c r="C77" s="129"/>
      <c r="D77" s="129"/>
      <c r="F77" s="195"/>
      <c r="H77" s="196"/>
      <c r="M77" s="100"/>
    </row>
    <row r="78" spans="6:13" ht="15" customHeight="1" hidden="1">
      <c r="F78" s="195"/>
      <c r="H78" s="196"/>
      <c r="M78" s="100"/>
    </row>
    <row r="79" spans="6:13" ht="15" customHeight="1" hidden="1">
      <c r="F79" s="195"/>
      <c r="H79" s="196"/>
      <c r="M79" s="100"/>
    </row>
    <row r="80" spans="2:13" ht="15" customHeight="1">
      <c r="B80" s="98"/>
      <c r="C80" s="98"/>
      <c r="D80" s="98"/>
      <c r="E80" s="98"/>
      <c r="F80" s="98"/>
      <c r="G80" s="98"/>
      <c r="H80" s="98"/>
      <c r="I80" s="98"/>
      <c r="J80" s="98"/>
      <c r="M80" s="100"/>
    </row>
    <row r="81" spans="2:19" ht="15" customHeight="1">
      <c r="B81" s="98"/>
      <c r="C81" s="98"/>
      <c r="D81" s="141" t="str">
        <f>"Uitslag "&amp;B2&amp;" Div "&amp;'BayernXpress I'!$X$2</f>
        <v>Uitslag RR Div 1</v>
      </c>
      <c r="E81" s="118"/>
      <c r="F81" s="134"/>
      <c r="G81" s="142"/>
      <c r="H81" s="159"/>
      <c r="I81" s="165" t="str">
        <f>"Rangschikking "&amp;B2&amp;" wordt bepaald door :"</f>
        <v>Rangschikking RR wordt bepaald door :</v>
      </c>
      <c r="J81" s="166"/>
      <c r="L81" s="349" t="str">
        <f>"1ste race "&amp;B49</f>
        <v>1ste race DE</v>
      </c>
      <c r="M81" s="100"/>
      <c r="N81" s="341"/>
      <c r="O81" s="342"/>
      <c r="P81" s="342"/>
      <c r="Q81" s="342"/>
      <c r="R81" s="342"/>
      <c r="S81" s="343"/>
    </row>
    <row r="82" spans="2:19" ht="15" customHeight="1">
      <c r="B82" s="98"/>
      <c r="C82" s="98"/>
      <c r="D82" s="89">
        <v>1</v>
      </c>
      <c r="E82" s="120" t="str">
        <f>IF(RR4!$A$43="","",HLOOKUP($D82,RR4!$D$26:$R$29,4,FALSE))</f>
        <v>Flying Stars</v>
      </c>
      <c r="F82" s="134"/>
      <c r="G82" s="142"/>
      <c r="H82" s="159"/>
      <c r="I82" s="167" t="s">
        <v>74</v>
      </c>
      <c r="J82" s="168">
        <v>1</v>
      </c>
      <c r="L82" s="143">
        <v>1</v>
      </c>
      <c r="M82" s="143">
        <v>1</v>
      </c>
      <c r="N82" s="342"/>
      <c r="O82" s="344"/>
      <c r="P82" s="344"/>
      <c r="Q82" s="344"/>
      <c r="R82" s="344"/>
      <c r="S82" s="345"/>
    </row>
    <row r="83" spans="2:19" ht="15" customHeight="1">
      <c r="B83" s="98"/>
      <c r="C83" s="98"/>
      <c r="D83" s="89">
        <v>2</v>
      </c>
      <c r="E83" s="120" t="str">
        <f>IF(RR4!$A$43="","",HLOOKUP($D83,RR4!$D$26:$R$29,4,FALSE))</f>
        <v>Fast'nFurious Flyballteam</v>
      </c>
      <c r="F83" s="134"/>
      <c r="G83" s="142"/>
      <c r="H83" s="159"/>
      <c r="I83" s="167" t="s">
        <v>75</v>
      </c>
      <c r="J83" s="168">
        <v>0</v>
      </c>
      <c r="L83" s="143">
        <v>2</v>
      </c>
      <c r="M83" s="143">
        <v>2</v>
      </c>
      <c r="N83" s="342"/>
      <c r="O83" s="342"/>
      <c r="P83" s="342"/>
      <c r="Q83" s="342"/>
      <c r="R83" s="342"/>
      <c r="S83" s="347"/>
    </row>
    <row r="84" spans="2:19" ht="15" customHeight="1">
      <c r="B84" s="98"/>
      <c r="C84" s="98"/>
      <c r="D84" s="89">
        <v>3</v>
      </c>
      <c r="E84" s="120" t="str">
        <f>IF(RR4!$A$43="","",HLOOKUP($D84,RR4!$D$26:$R$29,4,FALSE))</f>
        <v>BayernXpress I</v>
      </c>
      <c r="F84" s="134"/>
      <c r="G84" s="142"/>
      <c r="H84" s="159"/>
      <c r="I84" s="167" t="s">
        <v>76</v>
      </c>
      <c r="J84" s="168">
        <v>2</v>
      </c>
      <c r="L84" s="143">
        <v>2</v>
      </c>
      <c r="M84" s="143">
        <v>3</v>
      </c>
      <c r="N84" s="342"/>
      <c r="O84" s="342"/>
      <c r="P84" s="342"/>
      <c r="Q84" s="342"/>
      <c r="R84" s="342"/>
      <c r="S84" s="347"/>
    </row>
    <row r="85" spans="3:19" ht="15" customHeight="1">
      <c r="C85" s="129"/>
      <c r="D85" s="89">
        <v>4</v>
      </c>
      <c r="E85" s="120" t="str">
        <f>IF(RR4!$A$43="","",HLOOKUP($D85,RR4!$D$26:$R$29,4,FALSE))</f>
        <v>Cool Racers</v>
      </c>
      <c r="F85" s="134"/>
      <c r="G85" s="142"/>
      <c r="H85" s="159"/>
      <c r="I85" s="167" t="s">
        <v>77</v>
      </c>
      <c r="J85" s="360">
        <f>J84+1</f>
        <v>3</v>
      </c>
      <c r="L85" s="143">
        <v>1</v>
      </c>
      <c r="M85" s="143">
        <v>4</v>
      </c>
      <c r="N85" s="342"/>
      <c r="O85" s="342"/>
      <c r="P85" s="342"/>
      <c r="Q85" s="342"/>
      <c r="R85" s="342"/>
      <c r="S85" s="348"/>
    </row>
    <row r="86" spans="3:19" ht="15" customHeight="1">
      <c r="C86" s="129"/>
      <c r="D86" s="83"/>
      <c r="E86" s="77"/>
      <c r="F86" s="115"/>
      <c r="G86" s="100"/>
      <c r="H86" s="117"/>
      <c r="K86" s="100"/>
      <c r="L86" s="144"/>
      <c r="M86" s="144"/>
      <c r="N86" s="342"/>
      <c r="O86" s="342"/>
      <c r="P86" s="342"/>
      <c r="Q86" s="342"/>
      <c r="R86" s="342"/>
      <c r="S86" s="348"/>
    </row>
    <row r="87" spans="3:19" ht="15" customHeight="1" hidden="1">
      <c r="C87" s="129"/>
      <c r="D87" s="83"/>
      <c r="E87" s="77"/>
      <c r="F87" s="115"/>
      <c r="G87" s="100"/>
      <c r="H87" s="117"/>
      <c r="K87" s="100"/>
      <c r="L87" s="144"/>
      <c r="M87" s="144"/>
      <c r="N87" s="342"/>
      <c r="O87" s="342"/>
      <c r="P87" s="342"/>
      <c r="Q87" s="342"/>
      <c r="R87" s="342"/>
      <c r="S87" s="348"/>
    </row>
    <row r="88" spans="3:19" ht="15" customHeight="1" hidden="1">
      <c r="C88" s="129"/>
      <c r="D88" s="83"/>
      <c r="E88" s="77"/>
      <c r="F88" s="115"/>
      <c r="G88" s="100"/>
      <c r="H88" s="117"/>
      <c r="K88" s="100"/>
      <c r="L88" s="144"/>
      <c r="M88" s="144"/>
      <c r="N88" s="342"/>
      <c r="O88" s="342"/>
      <c r="P88" s="342"/>
      <c r="Q88" s="342"/>
      <c r="R88" s="342"/>
      <c r="S88" s="348"/>
    </row>
    <row r="89" spans="3:19" ht="15" customHeight="1" hidden="1">
      <c r="C89" s="129"/>
      <c r="D89" s="83"/>
      <c r="E89" s="77"/>
      <c r="F89" s="115"/>
      <c r="G89" s="100"/>
      <c r="H89" s="117"/>
      <c r="K89" s="100"/>
      <c r="L89" s="144"/>
      <c r="M89" s="144"/>
      <c r="N89" s="342"/>
      <c r="O89" s="342"/>
      <c r="P89" s="342"/>
      <c r="Q89" s="342"/>
      <c r="R89" s="342"/>
      <c r="S89" s="346"/>
    </row>
    <row r="90" spans="3:19" ht="15" customHeight="1" hidden="1">
      <c r="C90" s="129"/>
      <c r="D90" s="83"/>
      <c r="E90" s="77"/>
      <c r="F90" s="115"/>
      <c r="G90" s="100"/>
      <c r="H90" s="117"/>
      <c r="I90" s="131"/>
      <c r="J90" s="129"/>
      <c r="K90" s="100"/>
      <c r="L90" s="144"/>
      <c r="M90" s="144"/>
      <c r="N90" s="342"/>
      <c r="O90" s="342"/>
      <c r="P90" s="342"/>
      <c r="Q90" s="342"/>
      <c r="R90" s="342"/>
      <c r="S90" s="341"/>
    </row>
    <row r="91" spans="3:20" ht="15" customHeight="1" hidden="1">
      <c r="C91" s="129"/>
      <c r="D91" s="83"/>
      <c r="E91" s="77"/>
      <c r="F91" s="115"/>
      <c r="G91" s="100"/>
      <c r="H91" s="117"/>
      <c r="I91" s="131"/>
      <c r="J91" s="129"/>
      <c r="L91" s="100"/>
      <c r="M91" s="100"/>
      <c r="N91" s="100"/>
      <c r="O91" s="100"/>
      <c r="P91" s="100"/>
      <c r="S91" s="100"/>
      <c r="T91" s="100"/>
    </row>
    <row r="92" spans="3:20" ht="15" customHeight="1">
      <c r="C92" s="129"/>
      <c r="D92" s="129"/>
      <c r="E92" s="130"/>
      <c r="I92" s="131"/>
      <c r="J92" s="129"/>
      <c r="L92" s="100"/>
      <c r="M92" s="100"/>
      <c r="N92" s="100"/>
      <c r="O92" s="100"/>
      <c r="P92" s="100"/>
      <c r="S92" s="100"/>
      <c r="T92" s="100"/>
    </row>
    <row r="93" spans="3:20" ht="15" customHeight="1">
      <c r="C93" s="129"/>
      <c r="D93" s="145" t="str">
        <f>"uitslag "&amp;B49&amp;" Div "&amp;'BayernXpress I'!$X$2</f>
        <v>uitslag DE Div 1</v>
      </c>
      <c r="E93" s="146"/>
      <c r="F93" s="580"/>
      <c r="G93" s="580"/>
      <c r="H93" s="581"/>
      <c r="I93" s="131"/>
      <c r="J93" s="129"/>
      <c r="L93" s="143"/>
      <c r="M93" s="143" t="s">
        <v>18</v>
      </c>
      <c r="N93" s="143"/>
      <c r="O93" s="143" t="str">
        <f>$B$2</f>
        <v>RR</v>
      </c>
      <c r="P93" s="370" t="str">
        <f>$B$49</f>
        <v>DE</v>
      </c>
      <c r="Q93" s="143" t="s">
        <v>85</v>
      </c>
      <c r="S93" s="100"/>
      <c r="T93" s="100"/>
    </row>
    <row r="94" spans="3:20" ht="15" customHeight="1">
      <c r="C94" s="129"/>
      <c r="D94" s="147">
        <v>1</v>
      </c>
      <c r="E94" s="148" t="str">
        <f>'DE4'!$K$4</f>
        <v>Cool Racers</v>
      </c>
      <c r="F94" s="580"/>
      <c r="G94" s="580"/>
      <c r="H94" s="581"/>
      <c r="I94" s="131"/>
      <c r="J94" s="129"/>
      <c r="L94" s="143">
        <v>1</v>
      </c>
      <c r="M94" s="143">
        <f>O94+P94</f>
        <v>2.2</v>
      </c>
      <c r="N94" s="143" t="str">
        <f>'BayernXpress I'!$C$3</f>
        <v>BayernXpress I</v>
      </c>
      <c r="O94" s="143">
        <f>IF(OR($E$82="",$J$106=0,$J$106=""),0,VLOOKUP($N94,$E$82:$M$90,9,FALSE))</f>
        <v>0</v>
      </c>
      <c r="P94" s="370">
        <f>IF($E$94="",0,VLOOKUP($N94,$E$94:$N$102,8,FALSE)*1.1)</f>
        <v>2.2</v>
      </c>
      <c r="Q94" s="143">
        <f>SMALL($M$94:$M$102,1)</f>
        <v>1.1</v>
      </c>
      <c r="S94" s="100"/>
      <c r="T94" s="100"/>
    </row>
    <row r="95" spans="3:20" ht="15" customHeight="1">
      <c r="C95" s="129"/>
      <c r="D95" s="147">
        <v>2</v>
      </c>
      <c r="E95" s="148" t="str">
        <f>'DE4'!$K$5</f>
        <v>BayernXpress I</v>
      </c>
      <c r="F95" s="580"/>
      <c r="G95" s="580"/>
      <c r="H95" s="581"/>
      <c r="I95" s="131"/>
      <c r="J95" s="129"/>
      <c r="L95" s="143">
        <v>2</v>
      </c>
      <c r="M95" s="143">
        <f>O95+P95</f>
        <v>1.1</v>
      </c>
      <c r="N95" s="143" t="str">
        <f>'Cool Racers'!$C$3</f>
        <v>Cool Racers</v>
      </c>
      <c r="O95" s="143">
        <f>IF(OR($E$82="",$J$106=0,$J$106=""),0,VLOOKUP($N95,$E$82:$M$90,9,FALSE))</f>
        <v>0</v>
      </c>
      <c r="P95" s="370">
        <f>IF($E$94="",0,VLOOKUP($N95,$E$94:$N$102,8,FALSE)*1.1)</f>
        <v>1.1</v>
      </c>
      <c r="Q95" s="143">
        <f>SMALL($M$94:$M$102,2)</f>
        <v>2.2</v>
      </c>
      <c r="S95" s="100"/>
      <c r="T95" s="100"/>
    </row>
    <row r="96" spans="3:20" ht="15" customHeight="1">
      <c r="C96" s="129"/>
      <c r="D96" s="147">
        <v>3</v>
      </c>
      <c r="E96" s="148" t="str">
        <f>'DE4'!$K$6</f>
        <v>Fast'nFurious Flyballteam</v>
      </c>
      <c r="F96" s="580"/>
      <c r="G96" s="580"/>
      <c r="H96" s="581"/>
      <c r="I96" s="131"/>
      <c r="J96" s="129"/>
      <c r="L96" s="143">
        <v>3</v>
      </c>
      <c r="M96" s="143">
        <f>O96+P96</f>
        <v>4.4</v>
      </c>
      <c r="N96" s="143" t="str">
        <f>'Flying Stars'!$C$3</f>
        <v>Flying Stars</v>
      </c>
      <c r="O96" s="143">
        <f>IF(OR($E$82="",$J$106=0,$J$106=""),0,VLOOKUP($N96,$E$82:$M$90,9,FALSE))</f>
        <v>0</v>
      </c>
      <c r="P96" s="370">
        <f>IF($E$94="",0,VLOOKUP($N96,$E$94:$N$102,8,FALSE)*1.1)</f>
        <v>4.4</v>
      </c>
      <c r="Q96" s="143">
        <f>SMALL($M$94:$M$102,3)</f>
        <v>3.3000000000000003</v>
      </c>
      <c r="S96" s="100"/>
      <c r="T96" s="100"/>
    </row>
    <row r="97" spans="3:20" ht="15" customHeight="1">
      <c r="C97" s="129"/>
      <c r="D97" s="147">
        <v>4</v>
      </c>
      <c r="E97" s="148" t="str">
        <f>'DE4'!$K$7</f>
        <v>Flying Stars</v>
      </c>
      <c r="F97" s="580"/>
      <c r="G97" s="580"/>
      <c r="H97" s="581"/>
      <c r="I97" s="98"/>
      <c r="J97" s="98"/>
      <c r="L97" s="143">
        <v>4</v>
      </c>
      <c r="M97" s="143">
        <f>O97+P97</f>
        <v>3.3000000000000003</v>
      </c>
      <c r="N97" s="143" t="str">
        <f>'Fast''nFurious Flyballteam'!$C$3</f>
        <v>Fast'nFurious Flyballteam</v>
      </c>
      <c r="O97" s="143">
        <f>IF(OR($E$82="",$J$106=0,$J$106=""),0,VLOOKUP($N97,$E$82:$M$90,9,FALSE))</f>
        <v>0</v>
      </c>
      <c r="P97" s="370">
        <f>IF($E$94="",0,VLOOKUP($N97,$E$94:$N$102,8,FALSE)*1.1)</f>
        <v>3.3000000000000003</v>
      </c>
      <c r="Q97" s="143">
        <f>SMALL($M$94:$M$102,4)</f>
        <v>4.4</v>
      </c>
      <c r="S97" s="100"/>
      <c r="T97" s="100"/>
    </row>
    <row r="98" spans="4:20" ht="15" customHeight="1">
      <c r="D98" s="388"/>
      <c r="E98" s="389"/>
      <c r="F98" s="582"/>
      <c r="G98" s="582"/>
      <c r="H98" s="582"/>
      <c r="I98" s="100"/>
      <c r="K98" s="100"/>
      <c r="L98" s="368"/>
      <c r="M98" s="368"/>
      <c r="N98" s="368"/>
      <c r="O98" s="368"/>
      <c r="P98" s="368"/>
      <c r="Q98" s="368"/>
      <c r="S98" s="100"/>
      <c r="T98" s="100"/>
    </row>
    <row r="99" spans="4:20" ht="15" customHeight="1" hidden="1">
      <c r="D99" s="324"/>
      <c r="E99" s="390"/>
      <c r="F99" s="583"/>
      <c r="G99" s="583"/>
      <c r="H99" s="583"/>
      <c r="I99" s="100"/>
      <c r="K99" s="100"/>
      <c r="L99" s="144"/>
      <c r="M99" s="144"/>
      <c r="N99" s="144"/>
      <c r="O99" s="144"/>
      <c r="P99" s="144"/>
      <c r="Q99" s="144"/>
      <c r="S99" s="100"/>
      <c r="T99" s="100"/>
    </row>
    <row r="100" spans="4:20" ht="15" customHeight="1" hidden="1">
      <c r="D100" s="324"/>
      <c r="E100" s="390"/>
      <c r="F100" s="583"/>
      <c r="G100" s="583"/>
      <c r="H100" s="583"/>
      <c r="I100" s="100"/>
      <c r="K100" s="100"/>
      <c r="L100" s="144"/>
      <c r="M100" s="144"/>
      <c r="N100" s="144"/>
      <c r="O100" s="144"/>
      <c r="P100" s="144"/>
      <c r="Q100" s="144"/>
      <c r="S100" s="100"/>
      <c r="T100" s="100"/>
    </row>
    <row r="101" spans="4:20" ht="15" customHeight="1" hidden="1">
      <c r="D101" s="324"/>
      <c r="E101" s="390"/>
      <c r="F101" s="98"/>
      <c r="G101" s="98"/>
      <c r="H101" s="98"/>
      <c r="I101" s="100"/>
      <c r="K101" s="100"/>
      <c r="L101" s="144"/>
      <c r="M101" s="144"/>
      <c r="N101" s="144"/>
      <c r="O101" s="144"/>
      <c r="P101" s="144"/>
      <c r="Q101" s="144"/>
      <c r="S101" s="100"/>
      <c r="T101" s="100"/>
    </row>
    <row r="102" spans="4:20" ht="15" customHeight="1" hidden="1">
      <c r="D102" s="324"/>
      <c r="E102" s="390"/>
      <c r="F102" s="98"/>
      <c r="G102" s="98"/>
      <c r="H102" s="98"/>
      <c r="I102" s="100"/>
      <c r="K102" s="100"/>
      <c r="L102" s="144"/>
      <c r="M102" s="144"/>
      <c r="N102" s="144"/>
      <c r="O102" s="144"/>
      <c r="P102" s="144"/>
      <c r="Q102" s="144"/>
      <c r="S102" s="100"/>
      <c r="T102" s="100"/>
    </row>
    <row r="103" spans="4:20" ht="15" customHeight="1" hidden="1">
      <c r="D103" s="98"/>
      <c r="E103" s="98"/>
      <c r="F103" s="98"/>
      <c r="G103" s="98"/>
      <c r="H103" s="98"/>
      <c r="I103" s="98"/>
      <c r="J103" s="98"/>
      <c r="K103" s="100"/>
      <c r="L103" s="100"/>
      <c r="S103" s="100"/>
      <c r="T103" s="100"/>
    </row>
    <row r="104" spans="4:13" ht="15" customHeight="1">
      <c r="D104" s="98"/>
      <c r="E104" s="98"/>
      <c r="F104" s="98"/>
      <c r="G104" s="98"/>
      <c r="H104" s="98"/>
      <c r="I104" s="98"/>
      <c r="J104" s="98"/>
      <c r="K104" s="100"/>
      <c r="M104" s="100"/>
    </row>
    <row r="105" spans="4:10" ht="15" customHeight="1">
      <c r="D105" s="145" t="str">
        <f>"uitslag Div "&amp;'BayernXpress I'!$X$2</f>
        <v>uitslag Div 1</v>
      </c>
      <c r="E105" s="148"/>
      <c r="F105" s="580" t="s">
        <v>44</v>
      </c>
      <c r="G105" s="580"/>
      <c r="H105" s="581"/>
      <c r="I105" s="579" t="str">
        <f>IF(B2&lt;&gt;"ST","Rangschikking wordt bepaald door :","")</f>
        <v>Rangschikking wordt bepaald door :</v>
      </c>
      <c r="J105" s="579"/>
    </row>
    <row r="106" spans="3:14" ht="15" customHeight="1">
      <c r="C106" s="129"/>
      <c r="D106" s="147">
        <v>1</v>
      </c>
      <c r="E106" s="148" t="str">
        <f>IF($E$94="","",VLOOKUP(Q94,$M$94:$N$102,2,FALSE))</f>
        <v>Cool Racers</v>
      </c>
      <c r="F106" s="585">
        <f>IF(E106="","",VLOOKUP(E106,$M$106:$N$111,2,FALSE))</f>
        <v>18.28</v>
      </c>
      <c r="G106" s="585"/>
      <c r="H106" s="586"/>
      <c r="I106" s="359" t="str">
        <f>B2&amp;" &amp; "&amp;B49&amp;" (Combi toernooi)"</f>
        <v>RR &amp; DE (Combi toernooi)</v>
      </c>
      <c r="J106" s="170">
        <v>0</v>
      </c>
      <c r="L106" s="143">
        <v>1</v>
      </c>
      <c r="M106" s="143" t="str">
        <f>'BayernXpress I'!$C$3</f>
        <v>BayernXpress I</v>
      </c>
      <c r="N106" s="149">
        <f>'BayernXpress I'!$O$7</f>
        <v>19.65</v>
      </c>
    </row>
    <row r="107" spans="3:14" ht="15" customHeight="1">
      <c r="C107" s="129"/>
      <c r="D107" s="147">
        <v>2</v>
      </c>
      <c r="E107" s="148" t="str">
        <f>IF($E$94="","",VLOOKUP(Q95,$M$94:$N$102,2,FALSE))</f>
        <v>BayernXpress I</v>
      </c>
      <c r="F107" s="585">
        <f>IF(E107="","",VLOOKUP(E107,$M$106:$N$111,2,FALSE))</f>
        <v>19.65</v>
      </c>
      <c r="G107" s="585"/>
      <c r="H107" s="586"/>
      <c r="I107" s="359" t="s">
        <v>86</v>
      </c>
      <c r="J107" s="358">
        <f>IF(J106=0,1,2)</f>
        <v>1</v>
      </c>
      <c r="L107" s="143">
        <v>2</v>
      </c>
      <c r="M107" s="143" t="str">
        <f>'Cool Racers'!$C$3</f>
        <v>Cool Racers</v>
      </c>
      <c r="N107" s="149">
        <f>'Cool Racers'!$O$7</f>
        <v>18.28</v>
      </c>
    </row>
    <row r="108" spans="3:14" ht="15" customHeight="1">
      <c r="C108" s="129"/>
      <c r="D108" s="147">
        <v>3</v>
      </c>
      <c r="E108" s="148" t="str">
        <f>IF($E$94="","",VLOOKUP(Q96,$M$94:$N$102,2,FALSE))</f>
        <v>Fast'nFurious Flyballteam</v>
      </c>
      <c r="F108" s="585">
        <f>IF(E108="","",VLOOKUP(E108,$M$106:$N$111,2,FALSE))</f>
        <v>18.67</v>
      </c>
      <c r="G108" s="585"/>
      <c r="H108" s="586"/>
      <c r="I108" s="169"/>
      <c r="J108" s="170"/>
      <c r="L108" s="143">
        <v>3</v>
      </c>
      <c r="M108" s="143" t="str">
        <f>'Flying Stars'!$C$3</f>
        <v>Flying Stars</v>
      </c>
      <c r="N108" s="149">
        <f>'Flying Stars'!$O$7</f>
        <v>19.75</v>
      </c>
    </row>
    <row r="109" spans="3:14" ht="15" customHeight="1">
      <c r="C109" s="129"/>
      <c r="D109" s="147">
        <v>4</v>
      </c>
      <c r="E109" s="148" t="str">
        <f>IF($E$94="","",VLOOKUP(Q97,$M$94:$N$102,2,FALSE))</f>
        <v>Flying Stars</v>
      </c>
      <c r="F109" s="585">
        <f>IF(E109="","",VLOOKUP(E109,$M$106:$N$111,2,FALSE))</f>
        <v>19.75</v>
      </c>
      <c r="G109" s="585"/>
      <c r="H109" s="586"/>
      <c r="L109" s="143">
        <v>4</v>
      </c>
      <c r="M109" s="143" t="str">
        <f>'Fast''nFurious Flyballteam'!$C$3</f>
        <v>Fast'nFurious Flyballteam</v>
      </c>
      <c r="N109" s="149">
        <f>'Fast''nFurious Flyballteam'!$O$7</f>
        <v>18.67</v>
      </c>
    </row>
    <row r="110" spans="3:15" ht="15" customHeight="1">
      <c r="C110" s="129"/>
      <c r="D110" s="388"/>
      <c r="E110" s="389"/>
      <c r="F110" s="587"/>
      <c r="G110" s="587"/>
      <c r="H110" s="587"/>
      <c r="I110" s="131"/>
      <c r="J110" s="129"/>
      <c r="K110" s="100"/>
      <c r="L110" s="368"/>
      <c r="M110" s="368"/>
      <c r="N110" s="391"/>
      <c r="O110" s="100"/>
    </row>
    <row r="111" spans="3:14" ht="15" customHeight="1">
      <c r="C111" s="129"/>
      <c r="D111" s="324"/>
      <c r="E111" s="390"/>
      <c r="F111" s="584"/>
      <c r="G111" s="584"/>
      <c r="H111" s="584"/>
      <c r="K111" s="100"/>
      <c r="L111" s="144"/>
      <c r="M111" s="144"/>
      <c r="N111" s="454"/>
    </row>
  </sheetData>
  <sheetProtection/>
  <mergeCells count="18">
    <mergeCell ref="F100:H100"/>
    <mergeCell ref="F111:H111"/>
    <mergeCell ref="F106:H106"/>
    <mergeCell ref="F107:H107"/>
    <mergeCell ref="F108:H108"/>
    <mergeCell ref="F109:H109"/>
    <mergeCell ref="F110:H110"/>
    <mergeCell ref="F105:H105"/>
    <mergeCell ref="U1:X2"/>
    <mergeCell ref="R1:S2"/>
    <mergeCell ref="I105:J105"/>
    <mergeCell ref="F93:H93"/>
    <mergeCell ref="F94:H94"/>
    <mergeCell ref="F95:H95"/>
    <mergeCell ref="F96:H96"/>
    <mergeCell ref="F97:H97"/>
    <mergeCell ref="F98:H98"/>
    <mergeCell ref="F99:H9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X53"/>
  <sheetViews>
    <sheetView showGridLines="0" zoomScale="93" zoomScaleNormal="93" zoomScalePageLayoutView="0" workbookViewId="0" topLeftCell="B1">
      <selection activeCell="O1" sqref="O1"/>
    </sheetView>
  </sheetViews>
  <sheetFormatPr defaultColWidth="9.140625" defaultRowHeight="12.75"/>
  <cols>
    <col min="1" max="1" width="13.140625" style="80" hidden="1" customWidth="1"/>
    <col min="2" max="2" width="4.8515625" style="83" customWidth="1"/>
    <col min="3" max="3" width="4.7109375" style="83" customWidth="1"/>
    <col min="4" max="4" width="13.57421875" style="93" customWidth="1"/>
    <col min="5" max="5" width="4.8515625" style="177" customWidth="1"/>
    <col min="6" max="6" width="7.8515625" style="87" customWidth="1"/>
    <col min="7" max="7" width="4.7109375" style="83" customWidth="1"/>
    <col min="8" max="8" width="13.57421875" style="93" customWidth="1"/>
    <col min="9" max="9" width="4.8515625" style="177" customWidth="1"/>
    <col min="10" max="10" width="7.8515625" style="87" customWidth="1"/>
    <col min="11" max="11" width="4.7109375" style="83" customWidth="1"/>
    <col min="12" max="12" width="13.57421875" style="93" customWidth="1"/>
    <col min="13" max="13" width="4.8515625" style="177" customWidth="1"/>
    <col min="14" max="14" width="7.8515625" style="87" customWidth="1"/>
    <col min="15" max="15" width="4.7109375" style="83" customWidth="1"/>
    <col min="16" max="16" width="13.57421875" style="93" customWidth="1"/>
    <col min="17" max="17" width="4.8515625" style="177" customWidth="1"/>
    <col min="18" max="18" width="6.8515625" style="87" customWidth="1"/>
    <col min="19" max="19" width="9.57421875" style="81" hidden="1" customWidth="1"/>
    <col min="20" max="20" width="9.8515625" style="173" hidden="1" customWidth="1"/>
    <col min="21" max="21" width="18.57421875" style="173" hidden="1" customWidth="1"/>
    <col min="22" max="22" width="9.8515625" style="173" hidden="1" customWidth="1"/>
    <col min="23" max="23" width="0" style="83" hidden="1" customWidth="1"/>
    <col min="24" max="24" width="11.28125" style="84" hidden="1" customWidth="1"/>
    <col min="25" max="29" width="6.28125" style="83" hidden="1" customWidth="1"/>
    <col min="30" max="46" width="4.7109375" style="83" hidden="1" customWidth="1"/>
    <col min="47" max="47" width="0" style="83" hidden="1" customWidth="1"/>
    <col min="48" max="48" width="16.00390625" style="83" hidden="1" customWidth="1"/>
    <col min="49" max="51" width="0" style="80" hidden="1" customWidth="1"/>
    <col min="52" max="16384" width="9.140625" style="80" customWidth="1"/>
  </cols>
  <sheetData>
    <row r="1" spans="2:50" ht="30" customHeight="1">
      <c r="B1" s="77"/>
      <c r="C1" s="78"/>
      <c r="D1" s="78"/>
      <c r="E1" s="176"/>
      <c r="F1" s="79"/>
      <c r="G1" s="78"/>
      <c r="H1" s="78"/>
      <c r="I1" s="176"/>
      <c r="J1" s="79"/>
      <c r="K1" s="78"/>
      <c r="L1" s="78"/>
      <c r="M1" s="176"/>
      <c r="N1" s="79"/>
      <c r="O1" s="78"/>
      <c r="P1" s="611" t="str">
        <f>VLOOKUP("Divisie  ",'[1]Strings'!$A$3:$K$102,'[1]Strings'!$A$1,FALSE)&amp;'BayernXpress I'!$X$2</f>
        <v>Division  1</v>
      </c>
      <c r="Q1" s="612"/>
      <c r="R1" s="79"/>
      <c r="T1" s="226"/>
      <c r="U1" s="226"/>
      <c r="V1" s="226"/>
      <c r="W1" s="598"/>
      <c r="X1" s="600"/>
      <c r="Y1" s="602" t="s">
        <v>56</v>
      </c>
      <c r="Z1" s="604" t="s">
        <v>57</v>
      </c>
      <c r="AA1" s="604" t="s">
        <v>58</v>
      </c>
      <c r="AB1" s="604" t="s">
        <v>59</v>
      </c>
      <c r="AC1" s="605" t="s">
        <v>60</v>
      </c>
      <c r="AD1" s="602" t="s">
        <v>34</v>
      </c>
      <c r="AE1" s="604" t="s">
        <v>35</v>
      </c>
      <c r="AF1" s="604" t="s">
        <v>36</v>
      </c>
      <c r="AG1" s="604" t="s">
        <v>37</v>
      </c>
      <c r="AH1" s="605" t="s">
        <v>38</v>
      </c>
      <c r="AI1" s="602" t="s">
        <v>61</v>
      </c>
      <c r="AJ1" s="604" t="s">
        <v>62</v>
      </c>
      <c r="AK1" s="604" t="s">
        <v>63</v>
      </c>
      <c r="AL1" s="604" t="s">
        <v>64</v>
      </c>
      <c r="AM1" s="605" t="s">
        <v>65</v>
      </c>
      <c r="AN1" s="607" t="s">
        <v>66</v>
      </c>
      <c r="AO1" s="609" t="s">
        <v>67</v>
      </c>
      <c r="AP1" s="609" t="s">
        <v>68</v>
      </c>
      <c r="AQ1" s="609" t="s">
        <v>69</v>
      </c>
      <c r="AR1" s="615" t="s">
        <v>79</v>
      </c>
      <c r="AS1" s="617" t="s">
        <v>70</v>
      </c>
      <c r="AT1" s="614" t="s">
        <v>71</v>
      </c>
      <c r="AU1" s="614"/>
      <c r="AV1" s="614" t="s">
        <v>32</v>
      </c>
      <c r="AW1" s="613" t="s">
        <v>80</v>
      </c>
      <c r="AX1" s="613" t="s">
        <v>81</v>
      </c>
    </row>
    <row r="2" spans="3:50" ht="34.5" customHeight="1">
      <c r="C2" s="596" t="str">
        <f>'BayernXpress I'!$C$3</f>
        <v>BayernXpress I</v>
      </c>
      <c r="D2" s="597"/>
      <c r="E2" s="597"/>
      <c r="F2" s="86"/>
      <c r="G2" s="596" t="str">
        <f>'Cool Racers'!$C$3</f>
        <v>Cool Racers</v>
      </c>
      <c r="H2" s="597"/>
      <c r="I2" s="597"/>
      <c r="J2" s="86"/>
      <c r="K2" s="596" t="str">
        <f>'Flying Stars'!$C$3</f>
        <v>Flying Stars</v>
      </c>
      <c r="L2" s="597"/>
      <c r="M2" s="597"/>
      <c r="N2" s="86"/>
      <c r="O2" s="596" t="str">
        <f>'Fast''nFurious Flyballteam'!$C$3</f>
        <v>Fast'nFurious Flyballteam</v>
      </c>
      <c r="P2" s="597"/>
      <c r="Q2" s="597"/>
      <c r="R2" s="86"/>
      <c r="T2" s="227"/>
      <c r="U2" s="227"/>
      <c r="V2" s="227"/>
      <c r="W2" s="599"/>
      <c r="X2" s="601"/>
      <c r="Y2" s="603"/>
      <c r="Z2" s="599"/>
      <c r="AA2" s="599"/>
      <c r="AB2" s="599"/>
      <c r="AC2" s="606"/>
      <c r="AD2" s="603"/>
      <c r="AE2" s="599"/>
      <c r="AF2" s="599"/>
      <c r="AG2" s="599"/>
      <c r="AH2" s="606"/>
      <c r="AI2" s="603"/>
      <c r="AJ2" s="599"/>
      <c r="AK2" s="599"/>
      <c r="AL2" s="599"/>
      <c r="AM2" s="606"/>
      <c r="AN2" s="608"/>
      <c r="AO2" s="610"/>
      <c r="AP2" s="610"/>
      <c r="AQ2" s="610"/>
      <c r="AR2" s="616"/>
      <c r="AS2" s="618"/>
      <c r="AT2" s="610"/>
      <c r="AU2" s="610"/>
      <c r="AV2" s="610"/>
      <c r="AW2" s="613"/>
      <c r="AX2" s="613"/>
    </row>
    <row r="3" spans="1:50" ht="21" customHeight="1">
      <c r="A3" s="82">
        <v>1</v>
      </c>
      <c r="C3" s="193">
        <f>VLOOKUP($A3,uitslagen!Z$4:AB$47,2,FALSE)</f>
        <v>1</v>
      </c>
      <c r="D3" s="457" t="str">
        <f>VLOOKUP(E3,'[1]Strings'!$A$3:$K$102,'[1]Strings'!$A$1,FALSE)</f>
        <v>Blau</v>
      </c>
      <c r="E3" s="459" t="str">
        <f>VLOOKUP($A3,uitslagen!Z$4:AB$47,3,FALSE)</f>
        <v>Blauw</v>
      </c>
      <c r="G3" s="193">
        <f>VLOOKUP($A3,uitslagen!AD$4:AF$47,2,FALSE)</f>
        <v>2</v>
      </c>
      <c r="H3" s="457" t="str">
        <f>VLOOKUP(I3,'[1]Strings'!$A$3:$K$102,'[1]Strings'!$A$1,FALSE)</f>
        <v>Rot</v>
      </c>
      <c r="I3" s="461" t="str">
        <f>VLOOKUP($A3,uitslagen!AD$4:AF$47,3,FALSE)</f>
        <v>Rood</v>
      </c>
      <c r="K3" s="194">
        <f>VLOOKUP($A3,uitslagen!AH$4:AJ$47,2,FALSE)</f>
        <v>2</v>
      </c>
      <c r="L3" s="458" t="str">
        <f>VLOOKUP(M3,'[1]Strings'!$A$3:$K$102,'[1]Strings'!$A$1,FALSE)</f>
        <v>Blau</v>
      </c>
      <c r="M3" s="460" t="str">
        <f>VLOOKUP($A3,uitslagen!AH$4:AJ$47,3,FALSE)</f>
        <v>Blauw</v>
      </c>
      <c r="O3" s="194">
        <f>VLOOKUP($A3,uitslagen!AL$4:AN$47,2,FALSE)</f>
        <v>1</v>
      </c>
      <c r="P3" s="458" t="str">
        <f>VLOOKUP(Q3,'[1]Strings'!$A$3:$K$102,'[1]Strings'!$A$1,FALSE)</f>
        <v>Rot</v>
      </c>
      <c r="Q3" s="462" t="str">
        <f>VLOOKUP($A3,uitslagen!AL$4:AN$47,3,FALSE)</f>
        <v>Rood</v>
      </c>
      <c r="T3" s="227"/>
      <c r="U3" s="227"/>
      <c r="V3" s="227"/>
      <c r="W3" s="228"/>
      <c r="X3" s="229"/>
      <c r="Y3" s="230"/>
      <c r="Z3" s="228"/>
      <c r="AA3" s="228"/>
      <c r="AB3" s="228"/>
      <c r="AC3" s="231"/>
      <c r="AD3" s="230"/>
      <c r="AE3" s="228"/>
      <c r="AF3" s="228"/>
      <c r="AG3" s="228"/>
      <c r="AH3" s="231"/>
      <c r="AI3" s="230"/>
      <c r="AJ3" s="228"/>
      <c r="AK3" s="228"/>
      <c r="AL3" s="228"/>
      <c r="AM3" s="231"/>
      <c r="AN3" s="230"/>
      <c r="AO3" s="228"/>
      <c r="AP3" s="228"/>
      <c r="AQ3" s="228"/>
      <c r="AR3" s="231"/>
      <c r="AS3" s="232"/>
      <c r="AT3" s="228"/>
      <c r="AU3" s="228"/>
      <c r="AV3" s="228"/>
      <c r="AW3" s="233"/>
      <c r="AX3" s="234"/>
    </row>
    <row r="4" spans="1:50" s="32" customFormat="1" ht="17.25" customHeight="1" thickBot="1">
      <c r="A4" s="83"/>
      <c r="B4" s="83"/>
      <c r="C4" s="89">
        <v>1</v>
      </c>
      <c r="D4" s="171" t="str">
        <f>IF('BayernXpress I'!$V22="","",'BayernXpress I'!$V22)</f>
        <v>NT</v>
      </c>
      <c r="E4" s="340">
        <f>IF('BayernXpress I'!$Z22="w",2,IF('BayernXpress I'!$Z22="L",0,IF('BayernXpress I'!$Z22="T",1,"")))</f>
        <v>0</v>
      </c>
      <c r="F4" s="455">
        <f>VLOOKUP(C3&amp;E3,$W$5:$AR$33,C4+17,FALSE)</f>
      </c>
      <c r="G4" s="89">
        <v>1</v>
      </c>
      <c r="H4" s="171">
        <f>IF('Cool Racers'!$V22="","",'Cool Racers'!$V22)</f>
        <v>40.03</v>
      </c>
      <c r="I4" s="340">
        <f>IF('Cool Racers'!$Z22="w",2,IF('Cool Racers'!$Z22="L",0,IF('Cool Racers'!$Z22="T",1,"")))</f>
        <v>0</v>
      </c>
      <c r="J4" s="455">
        <f>VLOOKUP(G3&amp;I3,$W$5:$AR$33,G4+17,FALSE)</f>
      </c>
      <c r="K4" s="89">
        <v>1</v>
      </c>
      <c r="L4" s="171">
        <f>IF('Flying Stars'!$V22="","",'Flying Stars'!$V22)</f>
        <v>22</v>
      </c>
      <c r="M4" s="340">
        <f>IF('Flying Stars'!$Z22="w",2,IF('Flying Stars'!$Z22="L",0,IF('Flying Stars'!$Z22="T",1,"")))</f>
        <v>2</v>
      </c>
      <c r="N4" s="455">
        <f>VLOOKUP(K3&amp;M3,$W$5:$AR$33,K4+17,FALSE)</f>
      </c>
      <c r="O4" s="89">
        <v>1</v>
      </c>
      <c r="P4" s="171">
        <f>IF('Fast''nFurious Flyballteam'!$V22="","",'Fast''nFurious Flyballteam'!$V22)</f>
        <v>18.92</v>
      </c>
      <c r="Q4" s="340">
        <f>IF('Fast''nFurious Flyballteam'!$Z22="w",2,IF('Fast''nFurious Flyballteam'!$Z22="L",0,IF('Fast''nFurious Flyballteam'!$Z22="T",1,"")))</f>
        <v>2</v>
      </c>
      <c r="R4" s="455">
        <f>VLOOKUP(O3&amp;Q3,$W$5:$AR$33,O4+17,FALSE)</f>
      </c>
      <c r="S4" s="85"/>
      <c r="T4" s="228"/>
      <c r="U4" s="228"/>
      <c r="V4" s="228"/>
      <c r="W4" s="228">
        <v>1</v>
      </c>
      <c r="X4" s="235">
        <v>2</v>
      </c>
      <c r="Y4" s="230">
        <v>3</v>
      </c>
      <c r="Z4" s="228">
        <v>4</v>
      </c>
      <c r="AA4" s="228">
        <v>5</v>
      </c>
      <c r="AB4" s="228">
        <v>6</v>
      </c>
      <c r="AC4" s="231">
        <v>7</v>
      </c>
      <c r="AD4" s="230">
        <v>8</v>
      </c>
      <c r="AE4" s="228">
        <v>9</v>
      </c>
      <c r="AF4" s="228">
        <v>10</v>
      </c>
      <c r="AG4" s="228">
        <v>11</v>
      </c>
      <c r="AH4" s="231">
        <v>12</v>
      </c>
      <c r="AI4" s="230">
        <v>13</v>
      </c>
      <c r="AJ4" s="228">
        <v>14</v>
      </c>
      <c r="AK4" s="228">
        <v>15</v>
      </c>
      <c r="AL4" s="228">
        <v>16</v>
      </c>
      <c r="AM4" s="231">
        <v>17</v>
      </c>
      <c r="AN4" s="230">
        <v>18</v>
      </c>
      <c r="AO4" s="228">
        <v>19</v>
      </c>
      <c r="AP4" s="228">
        <v>20</v>
      </c>
      <c r="AQ4" s="228">
        <v>21</v>
      </c>
      <c r="AR4" s="231">
        <v>22</v>
      </c>
      <c r="AS4" s="232">
        <v>23</v>
      </c>
      <c r="AT4" s="228">
        <v>24</v>
      </c>
      <c r="AU4" s="228">
        <v>25</v>
      </c>
      <c r="AV4" s="228">
        <v>26</v>
      </c>
      <c r="AW4" s="236">
        <v>27</v>
      </c>
      <c r="AX4" s="236">
        <v>28</v>
      </c>
    </row>
    <row r="5" spans="1:50" s="32" customFormat="1" ht="17.25" customHeight="1">
      <c r="A5" s="83"/>
      <c r="B5" s="83"/>
      <c r="C5" s="89">
        <v>2</v>
      </c>
      <c r="D5" s="171">
        <f>IF('BayernXpress I'!$V23="","",'BayernXpress I'!$V23)</f>
        <v>20.89</v>
      </c>
      <c r="E5" s="340">
        <f>IF('BayernXpress I'!$Z23="w",2,IF('BayernXpress I'!$Z23="L",0,IF('BayernXpress I'!$Z23="T",1,"")))</f>
        <v>0</v>
      </c>
      <c r="F5" s="455">
        <f>VLOOKUP(C3&amp;E3,$W$5:$AR$33,C5+17,FALSE)</f>
      </c>
      <c r="G5" s="89">
        <v>2</v>
      </c>
      <c r="H5" s="171">
        <f>IF('Cool Racers'!$V23="","",'Cool Racers'!$V23)</f>
        <v>40.92</v>
      </c>
      <c r="I5" s="340">
        <f>IF('Cool Racers'!$Z23="w",2,IF('Cool Racers'!$Z23="L",0,IF('Cool Racers'!$Z23="T",1,"")))</f>
        <v>0</v>
      </c>
      <c r="J5" s="455">
        <f>VLOOKUP(G3&amp;I3,$W$5:$AR$33,G5+17,FALSE)</f>
      </c>
      <c r="K5" s="89">
        <v>2</v>
      </c>
      <c r="L5" s="171">
        <f>IF('Flying Stars'!$V23="","",'Flying Stars'!$V23)</f>
        <v>20.91</v>
      </c>
      <c r="M5" s="340">
        <f>IF('Flying Stars'!$Z23="w",2,IF('Flying Stars'!$Z23="L",0,IF('Flying Stars'!$Z23="T",1,"")))</f>
        <v>2</v>
      </c>
      <c r="N5" s="455">
        <f>VLOOKUP(K3&amp;M3,$W$5:$AR$33,K5+17,FALSE)</f>
      </c>
      <c r="O5" s="89">
        <v>2</v>
      </c>
      <c r="P5" s="171">
        <f>IF('Fast''nFurious Flyballteam'!$V23="","",'Fast''nFurious Flyballteam'!$V23)</f>
        <v>19.73</v>
      </c>
      <c r="Q5" s="340">
        <f>IF('Fast''nFurious Flyballteam'!$Z23="w",2,IF('Fast''nFurious Flyballteam'!$Z23="L",0,IF('Fast''nFurious Flyballteam'!$Z23="T",1,"")))</f>
        <v>2</v>
      </c>
      <c r="R5" s="455">
        <f>VLOOKUP(O3&amp;Q3,$W$5:$AR$33,O5+17,FALSE)</f>
      </c>
      <c r="S5" s="85"/>
      <c r="T5" s="237">
        <f>$C$3</f>
        <v>1</v>
      </c>
      <c r="U5" s="238" t="str">
        <f aca="true" t="shared" si="0" ref="U5:U16">T5&amp;X5</f>
        <v>1BayernXpress I</v>
      </c>
      <c r="V5" s="238" t="str">
        <f>$E$3</f>
        <v>Blauw</v>
      </c>
      <c r="W5" s="238" t="str">
        <f aca="true" t="shared" si="1" ref="W5:W16">T5&amp;V5</f>
        <v>1Blauw</v>
      </c>
      <c r="X5" s="239" t="str">
        <f>$C$2</f>
        <v>BayernXpress I</v>
      </c>
      <c r="Y5" s="240" t="str">
        <f>IF('BayernXpress I'!$V$22="","",'BayernXpress I'!$V$22)</f>
        <v>NT</v>
      </c>
      <c r="Z5" s="241">
        <f>IF('BayernXpress I'!$V$23="","",'BayernXpress I'!$V$23)</f>
        <v>20.89</v>
      </c>
      <c r="AA5" s="241" t="str">
        <f>IF('BayernXpress I'!$V$24="","",'BayernXpress I'!$V$24)</f>
        <v>NT</v>
      </c>
      <c r="AB5" s="241">
        <f>IF('BayernXpress I'!$V$25="","",'BayernXpress I'!$V$25)</f>
        <v>33.46</v>
      </c>
      <c r="AC5" s="242">
        <f>IF('BayernXpress I'!$V$26="","",'BayernXpress I'!$V$26)</f>
      </c>
      <c r="AD5" s="243" t="str">
        <f>IF('BayernXpress I'!$Z$22="","",'BayernXpress I'!$Z$22)</f>
        <v>L</v>
      </c>
      <c r="AE5" s="244" t="str">
        <f>IF('BayernXpress I'!$Z$23="","",'BayernXpress I'!$Z$23)</f>
        <v>L</v>
      </c>
      <c r="AF5" s="244" t="str">
        <f>IF('BayernXpress I'!$Z$24="","",'BayernXpress I'!$Z$24)</f>
        <v>L</v>
      </c>
      <c r="AG5" s="244" t="str">
        <f>IF('BayernXpress I'!$Z$25="","",'BayernXpress I'!$Z$25)</f>
        <v>L</v>
      </c>
      <c r="AH5" s="245">
        <f>IF('BayernXpress I'!$Z$26="","",'BayernXpress I'!$Z$26)</f>
      </c>
      <c r="AI5" s="237" t="str">
        <f aca="true" t="shared" si="2" ref="AI5:AI16">IF(Y5="W","W",IF(Y5="","",(IF(Y5=VLOOKUP($AU5,$W$5:$AH$17,AI$4-10,FALSE),"T",IF(OR(Y5="nt",VLOOKUP($AU5,$W$5:$AH$17,AI$4-10,FALSE)="w"),"L",IF(Y5&lt;VLOOKUP($AU5,$W$5:$AH$17,AI$4-10,FALSE),"W","L"))))))</f>
        <v>L</v>
      </c>
      <c r="AJ5" s="238" t="str">
        <f aca="true" t="shared" si="3" ref="AJ5:AJ16">IF(Z5="W","W",IF(Z5="","",(IF(Z5=VLOOKUP($AU5,$W$5:$AH$17,AJ$4-10,FALSE),"T",IF(OR(Z5="nt",VLOOKUP($AU5,$W$5:$AH$17,AJ$4-10,FALSE)="w"),"L",IF(Z5&lt;VLOOKUP($AU5,$W$5:$AH$17,AJ$4-10,FALSE),"W","L"))))))</f>
        <v>L</v>
      </c>
      <c r="AK5" s="238" t="str">
        <f aca="true" t="shared" si="4" ref="AK5:AK16">IF(AA5="W","W",IF(AA5="","",(IF(AA5=VLOOKUP($AU5,$W$5:$AH$17,AK$4-10,FALSE),"T",IF(OR(AA5="nt",VLOOKUP($AU5,$W$5:$AH$17,AK$4-10,FALSE)="w"),"L",IF(AA5&lt;VLOOKUP($AU5,$W$5:$AH$17,AK$4-10,FALSE),"W","L"))))))</f>
        <v>L</v>
      </c>
      <c r="AL5" s="238" t="str">
        <f aca="true" t="shared" si="5" ref="AL5:AL16">IF(AB5="W","W",IF(AB5="","",(IF(AB5=VLOOKUP($AU5,$W$5:$AH$17,AL$4-10,FALSE),"T",IF(OR(AB5="nt",VLOOKUP($AU5,$W$5:$AH$17,AL$4-10,FALSE)="w"),"L",IF(AB5&lt;VLOOKUP($AU5,$W$5:$AH$17,AL$4-10,FALSE),"W","L"))))))</f>
        <v>L</v>
      </c>
      <c r="AM5" s="246">
        <f aca="true" t="shared" si="6" ref="AM5:AM16">IF(AC5="W","W",IF(AC5="","",(IF(AC5=VLOOKUP($AU5,$W$5:$AH$17,AM$4-10,FALSE),"T",IF(OR(AC5="nt",VLOOKUP($AU5,$W$5:$AH$17,AM$4-10,FALSE)="w"),"L",IF(AC5&lt;VLOOKUP($AU5,$W$5:$AH$17,AM$4-10,FALSE),"W","L"))))))</f>
      </c>
      <c r="AN5" s="247">
        <f aca="true" t="shared" si="7" ref="AN5:AN16">IF(VLOOKUP($AU5,$W$5:$AM$17,AN$4-10,FALSE)="","",IF(OR(AND(AD5=VLOOKUP($AU5,$W$5:$AM$17,AN$4-10,FALSE),AD5&lt;&gt;"T"),AD5&lt;&gt;AI5,AD5=""),"x",""))</f>
      </c>
      <c r="AO5" s="248">
        <f aca="true" t="shared" si="8" ref="AO5:AO16">IF(VLOOKUP($AU5,$W$5:$AM$17,AO$4-10,FALSE)="","",IF(OR(AND(AE5=VLOOKUP($AU5,$W$5:$AM$17,AO$4-10,FALSE),AE5&lt;&gt;"T"),AE5&lt;&gt;AJ5,AE5=""),"x",""))</f>
      </c>
      <c r="AP5" s="248">
        <f aca="true" t="shared" si="9" ref="AP5:AP16">IF(VLOOKUP($AU5,$W$5:$AM$17,AP$4-10,FALSE)="","",IF(OR(AND(AF5=VLOOKUP($AU5,$W$5:$AM$17,AP$4-10,FALSE),AF5&lt;&gt;"T"),AF5&lt;&gt;AK5,AF5=""),"x",""))</f>
      </c>
      <c r="AQ5" s="248">
        <f aca="true" t="shared" si="10" ref="AQ5:AQ16">IF(VLOOKUP($AU5,$W$5:$AM$17,AQ$4-10,FALSE)="","",IF(OR(AND(AG5=VLOOKUP($AU5,$W$5:$AM$17,AQ$4-10,FALSE),AG5&lt;&gt;"T"),AG5&lt;&gt;AL5,AG5=""),"x",""))</f>
      </c>
      <c r="AR5" s="249">
        <f aca="true" t="shared" si="11" ref="AR5:AR16">IF(VLOOKUP($AU5,$W$5:$AM$17,AR$4-10,FALSE)="","",IF(OR(AND(AH5=VLOOKUP($AU5,$W$5:$AM$17,AR$4-10,FALSE),AH5&lt;&gt;"T"),AH5&lt;&gt;AM5,AH5=""),"x",""))</f>
      </c>
      <c r="AS5" s="250">
        <f>IF(AD5="","",COUNTIF(AD5:AH5,"w")*2+COUNTIF(AD5:AH5,"t"))</f>
        <v>0</v>
      </c>
      <c r="AT5" s="238">
        <f aca="true" t="shared" si="12" ref="AT5:AT16">IF(AND(AW5=AX5,AS5&lt;VLOOKUP(AU5,$W$5:$AS$17,23,FALSE)),$A$34,0)</f>
        <v>0</v>
      </c>
      <c r="AU5" s="238" t="str">
        <f>IF(V5="rood",T5&amp;uitslagen!$I$3,T5&amp;uitslagen!$E$3)</f>
        <v>1Rood</v>
      </c>
      <c r="AV5" s="251" t="str">
        <f aca="true" t="shared" si="13" ref="AV5:AV16">VLOOKUP(AU5,$W$5:$X$17,2,FALSE)</f>
        <v>Fast'nFurious Flyballteam</v>
      </c>
      <c r="AW5" s="237">
        <f>SUM($AS$5:$AS$7)</f>
        <v>8</v>
      </c>
      <c r="AX5" s="246">
        <f aca="true" t="shared" si="14" ref="AX5:AX16">VLOOKUP(AV5,$X$5:$AW$17,26,FALSE)</f>
        <v>17</v>
      </c>
    </row>
    <row r="6" spans="1:50" s="32" customFormat="1" ht="17.25" customHeight="1">
      <c r="A6" s="83"/>
      <c r="B6" s="83"/>
      <c r="C6" s="89">
        <v>3</v>
      </c>
      <c r="D6" s="171" t="str">
        <f>IF('BayernXpress I'!$V24="","",'BayernXpress I'!$V24)</f>
        <v>NT</v>
      </c>
      <c r="E6" s="340">
        <f>IF('BayernXpress I'!$Z24="w",2,IF('BayernXpress I'!$Z24="L",0,IF('BayernXpress I'!$Z24="T",1,"")))</f>
        <v>0</v>
      </c>
      <c r="F6" s="455">
        <f>VLOOKUP(C3&amp;E3,$W$5:$AR$33,C6+17,FALSE)</f>
      </c>
      <c r="G6" s="89">
        <v>3</v>
      </c>
      <c r="H6" s="171">
        <f>IF('Cool Racers'!$V24="","",'Cool Racers'!$V24)</f>
        <v>53.24</v>
      </c>
      <c r="I6" s="340">
        <f>IF('Cool Racers'!$Z24="w",2,IF('Cool Racers'!$Z24="L",0,IF('Cool Racers'!$Z24="T",1,"")))</f>
        <v>2</v>
      </c>
      <c r="J6" s="455">
        <f>VLOOKUP(G3&amp;I3,$W$5:$AR$33,G6+17,FALSE)</f>
      </c>
      <c r="K6" s="89">
        <v>3</v>
      </c>
      <c r="L6" s="171">
        <f>IF('Flying Stars'!$V24="","",'Flying Stars'!$V24)</f>
        <v>54.75</v>
      </c>
      <c r="M6" s="340">
        <f>IF('Flying Stars'!$Z24="w",2,IF('Flying Stars'!$Z24="L",0,IF('Flying Stars'!$Z24="T",1,"")))</f>
        <v>0</v>
      </c>
      <c r="N6" s="455">
        <f>VLOOKUP(K3&amp;M3,$W$5:$AR$33,K6+17,FALSE)</f>
      </c>
      <c r="O6" s="89">
        <v>3</v>
      </c>
      <c r="P6" s="171">
        <f>IF('Fast''nFurious Flyballteam'!$V24="","",'Fast''nFurious Flyballteam'!$V24)</f>
        <v>20.6</v>
      </c>
      <c r="Q6" s="340">
        <f>IF('Fast''nFurious Flyballteam'!$Z24="w",2,IF('Fast''nFurious Flyballteam'!$Z24="L",0,IF('Fast''nFurious Flyballteam'!$Z24="T",1,"")))</f>
        <v>2</v>
      </c>
      <c r="R6" s="455">
        <f>VLOOKUP(O3&amp;Q3,$W$5:$AR$33,O6+17,FALSE)</f>
      </c>
      <c r="S6" s="85"/>
      <c r="T6" s="252">
        <f>$C$10</f>
        <v>3</v>
      </c>
      <c r="U6" s="233" t="str">
        <f t="shared" si="0"/>
        <v>3BayernXpress I</v>
      </c>
      <c r="V6" s="233" t="str">
        <f>$E$10</f>
        <v>Rood</v>
      </c>
      <c r="W6" s="233" t="str">
        <f t="shared" si="1"/>
        <v>3Rood</v>
      </c>
      <c r="X6" s="253" t="str">
        <f>$C$2</f>
        <v>BayernXpress I</v>
      </c>
      <c r="Y6" s="254" t="str">
        <f>IF('BayernXpress I'!$V$29="","",'BayernXpress I'!$V$29)</f>
        <v>NT</v>
      </c>
      <c r="Z6" s="255">
        <f>IF('BayernXpress I'!$V$30="","",'BayernXpress I'!$V$30)</f>
        <v>20.19</v>
      </c>
      <c r="AA6" s="255" t="str">
        <f>IF('BayernXpress I'!$V$31="","",'BayernXpress I'!$V$31)</f>
        <v>NT</v>
      </c>
      <c r="AB6" s="255" t="str">
        <f>IF('BayernXpress I'!$V$32="","",'BayernXpress I'!$V$32)</f>
        <v>NT</v>
      </c>
      <c r="AC6" s="256">
        <f>IF('BayernXpress I'!$V$33="","",'BayernXpress I'!$V$33)</f>
      </c>
      <c r="AD6" s="257" t="str">
        <f>IF('BayernXpress I'!$Z$29="","",'BayernXpress I'!$Z$29)</f>
        <v>L</v>
      </c>
      <c r="AE6" s="258" t="str">
        <f>IF('BayernXpress I'!$Z$30="","",'BayernXpress I'!$Z$30)</f>
        <v>W</v>
      </c>
      <c r="AF6" s="258" t="str">
        <f>IF('BayernXpress I'!$Z$31="","",'BayernXpress I'!$Z$31)</f>
        <v>L</v>
      </c>
      <c r="AG6" s="258" t="str">
        <f>IF('BayernXpress I'!$Z$32="","",'BayernXpress I'!$Z$32)</f>
        <v>L</v>
      </c>
      <c r="AH6" s="259">
        <f>IF('BayernXpress I'!$Z$33="","",'BayernXpress I'!$Z$33)</f>
      </c>
      <c r="AI6" s="252" t="str">
        <f t="shared" si="2"/>
        <v>L</v>
      </c>
      <c r="AJ6" s="233" t="str">
        <f t="shared" si="3"/>
        <v>W</v>
      </c>
      <c r="AK6" s="233" t="str">
        <f t="shared" si="4"/>
        <v>L</v>
      </c>
      <c r="AL6" s="233" t="str">
        <f t="shared" si="5"/>
        <v>L</v>
      </c>
      <c r="AM6" s="260">
        <f t="shared" si="6"/>
      </c>
      <c r="AN6" s="261">
        <f t="shared" si="7"/>
      </c>
      <c r="AO6" s="262">
        <f t="shared" si="8"/>
      </c>
      <c r="AP6" s="262">
        <f t="shared" si="9"/>
      </c>
      <c r="AQ6" s="262">
        <f t="shared" si="10"/>
      </c>
      <c r="AR6" s="263">
        <f t="shared" si="11"/>
      </c>
      <c r="AS6" s="264">
        <f>IF(AD6="","",COUNTIF(AD6:AH6,"w")*2+COUNTIF(AD6:AH6,"t"))</f>
        <v>2</v>
      </c>
      <c r="AT6" s="233">
        <f t="shared" si="12"/>
        <v>0</v>
      </c>
      <c r="AU6" s="233" t="str">
        <f>IF(V6="rood",T6&amp;uitslagen!$I$3,T6&amp;uitslagen!$E$3)</f>
        <v>3Blauw</v>
      </c>
      <c r="AV6" s="265" t="str">
        <f t="shared" si="13"/>
        <v>Flying Stars</v>
      </c>
      <c r="AW6" s="252">
        <f>SUM($AS$5:$AS$7)</f>
        <v>8</v>
      </c>
      <c r="AX6" s="260">
        <f t="shared" si="14"/>
        <v>18</v>
      </c>
    </row>
    <row r="7" spans="1:50" s="32" customFormat="1" ht="17.25" customHeight="1" thickBot="1">
      <c r="A7" s="83"/>
      <c r="B7" s="83"/>
      <c r="C7" s="89">
        <v>4</v>
      </c>
      <c r="D7" s="171">
        <f>IF('BayernXpress I'!$V25="","",'BayernXpress I'!$V25)</f>
        <v>33.46</v>
      </c>
      <c r="E7" s="340">
        <f>IF('BayernXpress I'!$Z25="w",2,IF('BayernXpress I'!$Z25="L",0,IF('BayernXpress I'!$Z25="T",1,"")))</f>
        <v>0</v>
      </c>
      <c r="F7" s="455">
        <f>VLOOKUP(C3&amp;E3,$W$5:$AR$33,C7+17,FALSE)</f>
      </c>
      <c r="G7" s="89">
        <v>4</v>
      </c>
      <c r="H7" s="171" t="str">
        <f>IF('Cool Racers'!$V25="","",'Cool Racers'!$V25)</f>
        <v>NT</v>
      </c>
      <c r="I7" s="340">
        <f>IF('Cool Racers'!$Z25="w",2,IF('Cool Racers'!$Z25="L",0,IF('Cool Racers'!$Z25="T",1,"")))</f>
        <v>0</v>
      </c>
      <c r="J7" s="455">
        <f>VLOOKUP(G3&amp;I3,$W$5:$AR$33,G7+17,FALSE)</f>
      </c>
      <c r="K7" s="89">
        <v>4</v>
      </c>
      <c r="L7" s="171">
        <f>IF('Flying Stars'!$V25="","",'Flying Stars'!$V25)</f>
        <v>21.76</v>
      </c>
      <c r="M7" s="340">
        <f>IF('Flying Stars'!$Z25="w",2,IF('Flying Stars'!$Z25="L",0,IF('Flying Stars'!$Z25="T",1,"")))</f>
        <v>2</v>
      </c>
      <c r="N7" s="455">
        <f>VLOOKUP(K3&amp;M3,$W$5:$AR$33,K7+17,FALSE)</f>
      </c>
      <c r="O7" s="89">
        <v>4</v>
      </c>
      <c r="P7" s="171">
        <f>IF('Fast''nFurious Flyballteam'!$V25="","",'Fast''nFurious Flyballteam'!$V25)</f>
        <v>30.72</v>
      </c>
      <c r="Q7" s="340">
        <f>IF('Fast''nFurious Flyballteam'!$Z25="w",2,IF('Fast''nFurious Flyballteam'!$Z25="L",0,IF('Fast''nFurious Flyballteam'!$Z25="T",1,"")))</f>
        <v>2</v>
      </c>
      <c r="R7" s="455">
        <f>VLOOKUP(O3&amp;Q3,$W$5:$AR$33,O7+17,FALSE)</f>
      </c>
      <c r="S7" s="85"/>
      <c r="T7" s="266">
        <f>$C$17</f>
        <v>6</v>
      </c>
      <c r="U7" s="267" t="str">
        <f t="shared" si="0"/>
        <v>6BayernXpress I</v>
      </c>
      <c r="V7" s="267" t="str">
        <f>$E$17</f>
        <v>Rood</v>
      </c>
      <c r="W7" s="267" t="str">
        <f t="shared" si="1"/>
        <v>6Rood</v>
      </c>
      <c r="X7" s="268" t="str">
        <f>$C$2</f>
        <v>BayernXpress I</v>
      </c>
      <c r="Y7" s="269">
        <f>IF('BayernXpress I'!$V$36="","",'BayernXpress I'!$V$36)</f>
        <v>55.96</v>
      </c>
      <c r="Z7" s="270">
        <f>IF('BayernXpress I'!$V$37="","",'BayernXpress I'!$V$37)</f>
        <v>60.46</v>
      </c>
      <c r="AA7" s="270">
        <f>IF('BayernXpress I'!$V$38="","",'BayernXpress I'!$V$38)</f>
        <v>21.69</v>
      </c>
      <c r="AB7" s="270">
        <f>IF('BayernXpress I'!$V$39="","",'BayernXpress I'!$V$39)</f>
        <v>51.8</v>
      </c>
      <c r="AC7" s="271">
        <f>IF('BayernXpress I'!$V$40="","",'BayernXpress I'!$V$40)</f>
      </c>
      <c r="AD7" s="269" t="str">
        <f>IF('BayernXpress I'!$Z$36="","",'BayernXpress I'!$Z$36)</f>
        <v>W</v>
      </c>
      <c r="AE7" s="270" t="str">
        <f>IF('BayernXpress I'!$Z$37="","",'BayernXpress I'!$Z$37)</f>
        <v>W</v>
      </c>
      <c r="AF7" s="270" t="str">
        <f>IF('BayernXpress I'!$Z$38="","",'BayernXpress I'!$Z$38)</f>
        <v>L</v>
      </c>
      <c r="AG7" s="270" t="str">
        <f>IF('BayernXpress I'!$Z$39="","",'BayernXpress I'!$Z$39)</f>
        <v>W</v>
      </c>
      <c r="AH7" s="271">
        <f>IF('BayernXpress I'!$Z$40="","",'BayernXpress I'!$Z$40)</f>
      </c>
      <c r="AI7" s="266" t="str">
        <f t="shared" si="2"/>
        <v>W</v>
      </c>
      <c r="AJ7" s="267" t="str">
        <f t="shared" si="3"/>
        <v>W</v>
      </c>
      <c r="AK7" s="267" t="str">
        <f t="shared" si="4"/>
        <v>L</v>
      </c>
      <c r="AL7" s="267" t="str">
        <f t="shared" si="5"/>
        <v>W</v>
      </c>
      <c r="AM7" s="272">
        <f t="shared" si="6"/>
      </c>
      <c r="AN7" s="273">
        <f t="shared" si="7"/>
      </c>
      <c r="AO7" s="274">
        <f t="shared" si="8"/>
      </c>
      <c r="AP7" s="274">
        <f t="shared" si="9"/>
      </c>
      <c r="AQ7" s="274">
        <f t="shared" si="10"/>
      </c>
      <c r="AR7" s="275">
        <f t="shared" si="11"/>
      </c>
      <c r="AS7" s="276">
        <f aca="true" t="shared" si="15" ref="AS7:AS16">IF(AD7="","",COUNTIF(AD7:AH7,"w")*2+COUNTIF(AD7:AH7,"t"))</f>
        <v>6</v>
      </c>
      <c r="AT7" s="267">
        <f t="shared" si="12"/>
        <v>0</v>
      </c>
      <c r="AU7" s="267" t="str">
        <f>IF(V7="rood",T7&amp;uitslagen!$I$3,T7&amp;uitslagen!$E$3)</f>
        <v>6Blauw</v>
      </c>
      <c r="AV7" s="277" t="str">
        <f t="shared" si="13"/>
        <v>Cool Racers</v>
      </c>
      <c r="AW7" s="266">
        <f>SUM($AS$5:$AS$7)</f>
        <v>8</v>
      </c>
      <c r="AX7" s="272">
        <f t="shared" si="14"/>
        <v>5</v>
      </c>
    </row>
    <row r="8" spans="1:50" s="32" customFormat="1" ht="17.25" customHeight="1">
      <c r="A8" s="83"/>
      <c r="B8" s="83"/>
      <c r="C8" s="89">
        <v>5</v>
      </c>
      <c r="D8" s="171">
        <f>IF('BayernXpress I'!$V26="","",'BayernXpress I'!$V26)</f>
      </c>
      <c r="E8" s="340">
        <f>IF('BayernXpress I'!$Z26="w",2,IF('BayernXpress I'!$Z26="L",0,IF('BayernXpress I'!$Z26="T",1,"")))</f>
      </c>
      <c r="F8" s="455">
        <f>VLOOKUP(C3&amp;E3,$W$5:$AR$33,C8+17,FALSE)</f>
      </c>
      <c r="G8" s="89">
        <v>5</v>
      </c>
      <c r="H8" s="171">
        <f>IF('Cool Racers'!$V26="","",'Cool Racers'!$V26)</f>
      </c>
      <c r="I8" s="340">
        <f>IF('Cool Racers'!$Z26="w",2,IF('Cool Racers'!$Z26="L",0,IF('Cool Racers'!$Z26="T",1,"")))</f>
      </c>
      <c r="J8" s="455">
        <f>VLOOKUP(G3&amp;I3,$W$5:$AR$33,G8+17,FALSE)</f>
      </c>
      <c r="K8" s="89">
        <v>5</v>
      </c>
      <c r="L8" s="171">
        <f>IF('Flying Stars'!$V26="","",'Flying Stars'!$V26)</f>
      </c>
      <c r="M8" s="340">
        <f>IF('Flying Stars'!$Z26="w",2,IF('Flying Stars'!$Z26="L",0,IF('Flying Stars'!$Z26="T",1,"")))</f>
      </c>
      <c r="N8" s="455">
        <f>VLOOKUP(K3&amp;M3,$W$5:$AR$33,K8+17,FALSE)</f>
      </c>
      <c r="O8" s="89">
        <v>5</v>
      </c>
      <c r="P8" s="171">
        <f>IF('Fast''nFurious Flyballteam'!$V26="","",'Fast''nFurious Flyballteam'!$V26)</f>
      </c>
      <c r="Q8" s="340">
        <f>IF('Fast''nFurious Flyballteam'!$Z26="w",2,IF('Fast''nFurious Flyballteam'!$Z26="L",0,IF('Fast''nFurious Flyballteam'!$Z26="T",1,"")))</f>
      </c>
      <c r="R8" s="455">
        <f>VLOOKUP(O3&amp;Q3,$W$5:$AR$33,O8+17,FALSE)</f>
      </c>
      <c r="S8" s="85"/>
      <c r="T8" s="237">
        <f>$G$3</f>
        <v>2</v>
      </c>
      <c r="U8" s="238" t="str">
        <f t="shared" si="0"/>
        <v>2Cool Racers</v>
      </c>
      <c r="V8" s="238" t="str">
        <f>$I$3</f>
        <v>Rood</v>
      </c>
      <c r="W8" s="238" t="str">
        <f t="shared" si="1"/>
        <v>2Rood</v>
      </c>
      <c r="X8" s="239" t="str">
        <f>$G$2</f>
        <v>Cool Racers</v>
      </c>
      <c r="Y8" s="240">
        <f>IF('Cool Racers'!$V$22="","",'Cool Racers'!$V$22)</f>
        <v>40.03</v>
      </c>
      <c r="Z8" s="241">
        <f>IF('Cool Racers'!$V$23="","",'Cool Racers'!$V$23)</f>
        <v>40.92</v>
      </c>
      <c r="AA8" s="241">
        <f>IF('Cool Racers'!$V$24="","",'Cool Racers'!$V$24)</f>
        <v>53.24</v>
      </c>
      <c r="AB8" s="241" t="str">
        <f>IF('Cool Racers'!$V$25="","",'Cool Racers'!$V$25)</f>
        <v>NT</v>
      </c>
      <c r="AC8" s="242">
        <f>IF('Cool Racers'!$V$26="","",'Cool Racers'!$V$26)</f>
      </c>
      <c r="AD8" s="243" t="str">
        <f>IF('Cool Racers'!$Z$22="","",'Cool Racers'!$Z$22)</f>
        <v>L</v>
      </c>
      <c r="AE8" s="244" t="str">
        <f>IF('Cool Racers'!$Z$23="","",'Cool Racers'!$Z$23)</f>
        <v>L</v>
      </c>
      <c r="AF8" s="244" t="str">
        <f>IF('Cool Racers'!$Z$24="","",'Cool Racers'!$Z$24)</f>
        <v>W</v>
      </c>
      <c r="AG8" s="244" t="str">
        <f>IF('Cool Racers'!$Z$25="","",'Cool Racers'!$Z$25)</f>
        <v>L</v>
      </c>
      <c r="AH8" s="245">
        <f>IF('Cool Racers'!$Z$26="","",'Cool Racers'!$Z$26)</f>
      </c>
      <c r="AI8" s="237" t="str">
        <f t="shared" si="2"/>
        <v>L</v>
      </c>
      <c r="AJ8" s="238" t="str">
        <f t="shared" si="3"/>
        <v>L</v>
      </c>
      <c r="AK8" s="238" t="str">
        <f t="shared" si="4"/>
        <v>W</v>
      </c>
      <c r="AL8" s="238" t="str">
        <f t="shared" si="5"/>
        <v>L</v>
      </c>
      <c r="AM8" s="246">
        <f t="shared" si="6"/>
      </c>
      <c r="AN8" s="247">
        <f t="shared" si="7"/>
      </c>
      <c r="AO8" s="248">
        <f t="shared" si="8"/>
      </c>
      <c r="AP8" s="248">
        <f t="shared" si="9"/>
      </c>
      <c r="AQ8" s="248">
        <f t="shared" si="10"/>
      </c>
      <c r="AR8" s="249">
        <f t="shared" si="11"/>
      </c>
      <c r="AS8" s="250">
        <f t="shared" si="15"/>
        <v>2</v>
      </c>
      <c r="AT8" s="238">
        <f t="shared" si="12"/>
        <v>0</v>
      </c>
      <c r="AU8" s="238" t="str">
        <f>IF(V8="rood",T8&amp;uitslagen!$I$3,T8&amp;uitslagen!$E$3)</f>
        <v>2Blauw</v>
      </c>
      <c r="AV8" s="246" t="str">
        <f t="shared" si="13"/>
        <v>Flying Stars</v>
      </c>
      <c r="AW8" s="237">
        <f>SUM($AS$8:$AS$10)</f>
        <v>5</v>
      </c>
      <c r="AX8" s="246">
        <f t="shared" si="14"/>
        <v>18</v>
      </c>
    </row>
    <row r="9" spans="1:50" ht="17.25" customHeight="1">
      <c r="A9" s="82"/>
      <c r="D9" s="91"/>
      <c r="F9" s="79"/>
      <c r="H9" s="92"/>
      <c r="J9" s="79"/>
      <c r="L9" s="92"/>
      <c r="N9" s="79"/>
      <c r="P9" s="92"/>
      <c r="R9" s="79"/>
      <c r="T9" s="252">
        <f>$G$10</f>
        <v>4</v>
      </c>
      <c r="U9" s="233" t="str">
        <f t="shared" si="0"/>
        <v>4Cool Racers</v>
      </c>
      <c r="V9" s="233" t="str">
        <f>$I$10</f>
        <v>Blauw</v>
      </c>
      <c r="W9" s="233" t="str">
        <f t="shared" si="1"/>
        <v>4Blauw</v>
      </c>
      <c r="X9" s="253" t="str">
        <f>$G$2</f>
        <v>Cool Racers</v>
      </c>
      <c r="Y9" s="254" t="str">
        <f>IF('Cool Racers'!$V$29="","",'Cool Racers'!$V$29)</f>
        <v>NT</v>
      </c>
      <c r="Z9" s="255" t="str">
        <f>IF('Cool Racers'!$V$30="","",'Cool Racers'!$V$30)</f>
        <v>NT</v>
      </c>
      <c r="AA9" s="255" t="str">
        <f>IF('Cool Racers'!$V$31="","",'Cool Racers'!$V$31)</f>
        <v>NT</v>
      </c>
      <c r="AB9" s="255" t="str">
        <f>IF('Cool Racers'!$V$32="","",'Cool Racers'!$V$32)</f>
        <v>NT</v>
      </c>
      <c r="AC9" s="256">
        <f>IF('Cool Racers'!$V$33="","",'Cool Racers'!$V$33)</f>
      </c>
      <c r="AD9" s="257" t="str">
        <f>IF('Cool Racers'!$Z$29="","",'Cool Racers'!$Z$29)</f>
        <v>L</v>
      </c>
      <c r="AE9" s="258" t="str">
        <f>IF('Cool Racers'!$Z$30="","",'Cool Racers'!$Z$30)</f>
        <v>L</v>
      </c>
      <c r="AF9" s="258" t="str">
        <f>IF('Cool Racers'!$Z$31="","",'Cool Racers'!$Z$31)</f>
        <v>T</v>
      </c>
      <c r="AG9" s="258" t="str">
        <f>IF('Cool Racers'!$Z$32="","",'Cool Racers'!$Z$32)</f>
        <v>L</v>
      </c>
      <c r="AH9" s="259">
        <f>IF('Cool Racers'!$Z$33="","",'Cool Racers'!$Z$33)</f>
      </c>
      <c r="AI9" s="252" t="str">
        <f t="shared" si="2"/>
        <v>L</v>
      </c>
      <c r="AJ9" s="233" t="str">
        <f t="shared" si="3"/>
        <v>L</v>
      </c>
      <c r="AK9" s="233" t="str">
        <f t="shared" si="4"/>
        <v>T</v>
      </c>
      <c r="AL9" s="233" t="str">
        <f t="shared" si="5"/>
        <v>L</v>
      </c>
      <c r="AM9" s="260">
        <f t="shared" si="6"/>
      </c>
      <c r="AN9" s="261">
        <f t="shared" si="7"/>
      </c>
      <c r="AO9" s="262">
        <f t="shared" si="8"/>
      </c>
      <c r="AP9" s="262">
        <f t="shared" si="9"/>
      </c>
      <c r="AQ9" s="262">
        <f t="shared" si="10"/>
      </c>
      <c r="AR9" s="263">
        <f t="shared" si="11"/>
      </c>
      <c r="AS9" s="264">
        <f t="shared" si="15"/>
        <v>1</v>
      </c>
      <c r="AT9" s="233">
        <f t="shared" si="12"/>
        <v>0</v>
      </c>
      <c r="AU9" s="233" t="str">
        <f>IF(V9="rood",T9&amp;uitslagen!$I$3,T9&amp;uitslagen!$E$3)</f>
        <v>4Rood</v>
      </c>
      <c r="AV9" s="260" t="str">
        <f t="shared" si="13"/>
        <v>Fast'nFurious Flyballteam</v>
      </c>
      <c r="AW9" s="252">
        <f>SUM($AS$8:$AS$10)</f>
        <v>5</v>
      </c>
      <c r="AX9" s="260">
        <f t="shared" si="14"/>
        <v>17</v>
      </c>
    </row>
    <row r="10" spans="1:50" ht="21" customHeight="1" thickBot="1">
      <c r="A10" s="82">
        <v>2</v>
      </c>
      <c r="C10" s="194">
        <f>VLOOKUP($A10,uitslagen!Z$4:AB$47,2,FALSE)</f>
        <v>3</v>
      </c>
      <c r="D10" s="458" t="str">
        <f>VLOOKUP(E10,'[1]Strings'!$A$3:$K$102,'[1]Strings'!$A$1,FALSE)</f>
        <v>Rot</v>
      </c>
      <c r="E10" s="462" t="str">
        <f>VLOOKUP($A10,uitslagen!Z$4:AB$47,3,FALSE)</f>
        <v>Rood</v>
      </c>
      <c r="F10" s="79"/>
      <c r="G10" s="194">
        <f>VLOOKUP($A10,uitslagen!AD$4:AF$47,2,FALSE)</f>
        <v>4</v>
      </c>
      <c r="H10" s="458" t="str">
        <f>VLOOKUP(I10,'[1]Strings'!$A$3:$K$102,'[1]Strings'!$A$1,FALSE)</f>
        <v>Blau</v>
      </c>
      <c r="I10" s="460" t="str">
        <f>VLOOKUP($A10,uitslagen!AD$4:AF$47,3,FALSE)</f>
        <v>Blauw</v>
      </c>
      <c r="J10" s="79"/>
      <c r="K10" s="193">
        <f>VLOOKUP($A10,uitslagen!AH$4:AJ$47,2,FALSE)</f>
        <v>3</v>
      </c>
      <c r="L10" s="457" t="str">
        <f>VLOOKUP(M10,'[1]Strings'!$A$3:$K$102,'[1]Strings'!$A$1,FALSE)</f>
        <v>Blau</v>
      </c>
      <c r="M10" s="459" t="str">
        <f>VLOOKUP($A10,uitslagen!AH$4:AJ$47,3,FALSE)</f>
        <v>Blauw</v>
      </c>
      <c r="N10" s="79"/>
      <c r="O10" s="193">
        <f>VLOOKUP($A10,uitslagen!AL$4:AN$47,2,FALSE)</f>
        <v>4</v>
      </c>
      <c r="P10" s="457" t="str">
        <f>VLOOKUP(Q10,'[1]Strings'!$A$3:$K$102,'[1]Strings'!$A$1,FALSE)</f>
        <v>Rot</v>
      </c>
      <c r="Q10" s="461" t="str">
        <f>VLOOKUP($A10,uitslagen!AL$4:AN$47,3,FALSE)</f>
        <v>Rood</v>
      </c>
      <c r="R10" s="79"/>
      <c r="T10" s="266">
        <f>$G$17</f>
        <v>6</v>
      </c>
      <c r="U10" s="267" t="str">
        <f t="shared" si="0"/>
        <v>6Cool Racers</v>
      </c>
      <c r="V10" s="267" t="str">
        <f>$I$17</f>
        <v>Blauw</v>
      </c>
      <c r="W10" s="267" t="str">
        <f t="shared" si="1"/>
        <v>6Blauw</v>
      </c>
      <c r="X10" s="268" t="str">
        <f>$G$2</f>
        <v>Cool Racers</v>
      </c>
      <c r="Y10" s="269" t="str">
        <f>IF('Cool Racers'!$V$36="","",'Cool Racers'!$V$36)</f>
        <v>NT</v>
      </c>
      <c r="Z10" s="270" t="str">
        <f>IF('Cool Racers'!$V$37="","",'Cool Racers'!$V$37)</f>
        <v>NT</v>
      </c>
      <c r="AA10" s="270">
        <f>IF('Cool Racers'!$V$38="","",'Cool Racers'!$V$38)</f>
        <v>20.53</v>
      </c>
      <c r="AB10" s="270" t="str">
        <f>IF('Cool Racers'!$V$39="","",'Cool Racers'!$V$39)</f>
        <v>NT</v>
      </c>
      <c r="AC10" s="271">
        <f>IF('Cool Racers'!$V$40="","",'Cool Racers'!$V$40)</f>
      </c>
      <c r="AD10" s="269" t="str">
        <f>IF('Cool Racers'!$Z$36="","",'Cool Racers'!$Z$36)</f>
        <v>L</v>
      </c>
      <c r="AE10" s="270" t="str">
        <f>IF('Cool Racers'!$Z$37="","",'Cool Racers'!$Z$37)</f>
        <v>L</v>
      </c>
      <c r="AF10" s="270" t="str">
        <f>IF('Cool Racers'!$Z$38="","",'Cool Racers'!$Z$38)</f>
        <v>W</v>
      </c>
      <c r="AG10" s="270" t="str">
        <f>IF('Cool Racers'!$Z$39="","",'Cool Racers'!$Z$39)</f>
        <v>L</v>
      </c>
      <c r="AH10" s="271">
        <f>IF('Cool Racers'!$Z$40="","",'Cool Racers'!$Z$40)</f>
      </c>
      <c r="AI10" s="266" t="str">
        <f t="shared" si="2"/>
        <v>L</v>
      </c>
      <c r="AJ10" s="267" t="str">
        <f t="shared" si="3"/>
        <v>L</v>
      </c>
      <c r="AK10" s="267" t="str">
        <f t="shared" si="4"/>
        <v>W</v>
      </c>
      <c r="AL10" s="267" t="str">
        <f t="shared" si="5"/>
        <v>L</v>
      </c>
      <c r="AM10" s="272">
        <f t="shared" si="6"/>
      </c>
      <c r="AN10" s="273">
        <f t="shared" si="7"/>
      </c>
      <c r="AO10" s="274">
        <f t="shared" si="8"/>
      </c>
      <c r="AP10" s="274">
        <f t="shared" si="9"/>
      </c>
      <c r="AQ10" s="274">
        <f t="shared" si="10"/>
      </c>
      <c r="AR10" s="275">
        <f t="shared" si="11"/>
      </c>
      <c r="AS10" s="276">
        <f t="shared" si="15"/>
        <v>2</v>
      </c>
      <c r="AT10" s="267">
        <f t="shared" si="12"/>
        <v>0</v>
      </c>
      <c r="AU10" s="267" t="str">
        <f>IF(V10="rood",T10&amp;uitslagen!$I$3,T10&amp;uitslagen!$E$3)</f>
        <v>6Rood</v>
      </c>
      <c r="AV10" s="272" t="str">
        <f t="shared" si="13"/>
        <v>BayernXpress I</v>
      </c>
      <c r="AW10" s="266">
        <f>SUM($AS$8:$AS$10)</f>
        <v>5</v>
      </c>
      <c r="AX10" s="272">
        <f t="shared" si="14"/>
        <v>8</v>
      </c>
    </row>
    <row r="11" spans="1:50" s="32" customFormat="1" ht="17.25" customHeight="1">
      <c r="A11" s="83"/>
      <c r="B11" s="83"/>
      <c r="C11" s="89">
        <v>1</v>
      </c>
      <c r="D11" s="171" t="str">
        <f>IF('BayernXpress I'!$V29="","",'BayernXpress I'!$V29)</f>
        <v>NT</v>
      </c>
      <c r="E11" s="340">
        <f>IF('BayernXpress I'!$Z29="w",2,IF('BayernXpress I'!$Z29="L",0,IF('BayernXpress I'!$Z29="T",1,"")))</f>
        <v>0</v>
      </c>
      <c r="F11" s="455">
        <f>VLOOKUP(C10&amp;E10,$W$5:$AR$33,C11+17,FALSE)</f>
      </c>
      <c r="G11" s="89">
        <v>1</v>
      </c>
      <c r="H11" s="171" t="str">
        <f>IF('Cool Racers'!$V29="","",'Cool Racers'!$V29)</f>
        <v>NT</v>
      </c>
      <c r="I11" s="340">
        <f>IF('Cool Racers'!$Z29="w",2,IF('Cool Racers'!$Z29="L",0,IF('Cool Racers'!$Z29="T",1,"")))</f>
        <v>0</v>
      </c>
      <c r="J11" s="455">
        <f>VLOOKUP(G10&amp;I10,$W$5:$AR$33,G11+17,FALSE)</f>
      </c>
      <c r="K11" s="89">
        <v>1</v>
      </c>
      <c r="L11" s="171">
        <f>IF('Flying Stars'!$V29="","",'Flying Stars'!$V29)</f>
        <v>20.08</v>
      </c>
      <c r="M11" s="340">
        <f>IF('Flying Stars'!$Z29="w",2,IF('Flying Stars'!$Z29="L",0,IF('Flying Stars'!$Z29="T",1,"")))</f>
        <v>2</v>
      </c>
      <c r="N11" s="455">
        <f>VLOOKUP(K10&amp;M10,$W$5:$AR$33,K11+17,FALSE)</f>
      </c>
      <c r="O11" s="89">
        <v>1</v>
      </c>
      <c r="P11" s="171">
        <f>IF('Fast''nFurious Flyballteam'!$V29="","",'Fast''nFurious Flyballteam'!$V29)</f>
        <v>21.67</v>
      </c>
      <c r="Q11" s="340">
        <f>IF('Fast''nFurious Flyballteam'!$Z29="w",2,IF('Fast''nFurious Flyballteam'!$Z29="L",0,IF('Fast''nFurious Flyballteam'!$Z29="T",1,"")))</f>
        <v>2</v>
      </c>
      <c r="R11" s="455">
        <f>VLOOKUP(O10&amp;Q10,$W$5:$AR$33,O11+17,FALSE)</f>
      </c>
      <c r="S11" s="85"/>
      <c r="T11" s="237">
        <f>$K$3</f>
        <v>2</v>
      </c>
      <c r="U11" s="238" t="str">
        <f t="shared" si="0"/>
        <v>2Flying Stars</v>
      </c>
      <c r="V11" s="238" t="str">
        <f>$M$3</f>
        <v>Blauw</v>
      </c>
      <c r="W11" s="238" t="str">
        <f t="shared" si="1"/>
        <v>2Blauw</v>
      </c>
      <c r="X11" s="239" t="str">
        <f>$K$2</f>
        <v>Flying Stars</v>
      </c>
      <c r="Y11" s="240">
        <f>IF('Flying Stars'!$V$22="","",'Flying Stars'!$V$22)</f>
        <v>22</v>
      </c>
      <c r="Z11" s="241">
        <f>IF('Flying Stars'!$V$23="","",'Flying Stars'!$V$23)</f>
        <v>20.91</v>
      </c>
      <c r="AA11" s="241">
        <f>IF('Flying Stars'!$V$24="","",'Flying Stars'!$V$24)</f>
        <v>54.75</v>
      </c>
      <c r="AB11" s="241">
        <f>IF('Flying Stars'!$V$25="","",'Flying Stars'!$V$25)</f>
        <v>21.76</v>
      </c>
      <c r="AC11" s="242">
        <f>IF('Flying Stars'!$V$26="","",'Flying Stars'!$V$26)</f>
      </c>
      <c r="AD11" s="243" t="str">
        <f>IF('Flying Stars'!$Z$22="","",'Flying Stars'!$Z$22)</f>
        <v>W</v>
      </c>
      <c r="AE11" s="244" t="str">
        <f>IF('Flying Stars'!$Z$23="","",'Flying Stars'!$Z$23)</f>
        <v>W</v>
      </c>
      <c r="AF11" s="244" t="str">
        <f>IF('Flying Stars'!$Z$24="","",'Flying Stars'!$Z$24)</f>
        <v>L</v>
      </c>
      <c r="AG11" s="244" t="str">
        <f>IF('Flying Stars'!$Z$25="","",'Flying Stars'!$Z$25)</f>
        <v>W</v>
      </c>
      <c r="AH11" s="245">
        <f>IF('Flying Stars'!$Z$26="","",'Flying Stars'!$Z$26)</f>
      </c>
      <c r="AI11" s="237" t="str">
        <f t="shared" si="2"/>
        <v>W</v>
      </c>
      <c r="AJ11" s="238" t="str">
        <f t="shared" si="3"/>
        <v>W</v>
      </c>
      <c r="AK11" s="238" t="str">
        <f t="shared" si="4"/>
        <v>L</v>
      </c>
      <c r="AL11" s="238" t="str">
        <f t="shared" si="5"/>
        <v>W</v>
      </c>
      <c r="AM11" s="246">
        <f t="shared" si="6"/>
      </c>
      <c r="AN11" s="247">
        <f t="shared" si="7"/>
      </c>
      <c r="AO11" s="248">
        <f t="shared" si="8"/>
      </c>
      <c r="AP11" s="248">
        <f t="shared" si="9"/>
      </c>
      <c r="AQ11" s="248">
        <f t="shared" si="10"/>
      </c>
      <c r="AR11" s="249">
        <f t="shared" si="11"/>
      </c>
      <c r="AS11" s="250">
        <f t="shared" si="15"/>
        <v>6</v>
      </c>
      <c r="AT11" s="238">
        <f t="shared" si="12"/>
        <v>0</v>
      </c>
      <c r="AU11" s="238" t="str">
        <f>IF(V11="rood",T11&amp;uitslagen!$I$3,T11&amp;uitslagen!$E$3)</f>
        <v>2Rood</v>
      </c>
      <c r="AV11" s="246" t="str">
        <f t="shared" si="13"/>
        <v>Cool Racers</v>
      </c>
      <c r="AW11" s="237">
        <f>SUM($AS$11:$AS$13)</f>
        <v>18</v>
      </c>
      <c r="AX11" s="246">
        <f t="shared" si="14"/>
        <v>5</v>
      </c>
    </row>
    <row r="12" spans="1:50" s="32" customFormat="1" ht="17.25" customHeight="1">
      <c r="A12" s="83"/>
      <c r="B12" s="83"/>
      <c r="C12" s="89">
        <v>2</v>
      </c>
      <c r="D12" s="171">
        <f>IF('BayernXpress I'!$V30="","",'BayernXpress I'!$V30)</f>
        <v>20.19</v>
      </c>
      <c r="E12" s="340">
        <f>IF('BayernXpress I'!$Z30="w",2,IF('BayernXpress I'!$Z30="L",0,IF('BayernXpress I'!$Z30="T",1,"")))</f>
        <v>2</v>
      </c>
      <c r="F12" s="455">
        <f>VLOOKUP(C10&amp;E10,$W$5:$AR$33,C12+17,FALSE)</f>
      </c>
      <c r="G12" s="89">
        <v>2</v>
      </c>
      <c r="H12" s="171" t="str">
        <f>IF('Cool Racers'!$V30="","",'Cool Racers'!$V30)</f>
        <v>NT</v>
      </c>
      <c r="I12" s="340">
        <f>IF('Cool Racers'!$Z30="w",2,IF('Cool Racers'!$Z30="L",0,IF('Cool Racers'!$Z30="T",1,"")))</f>
        <v>0</v>
      </c>
      <c r="J12" s="455">
        <f>VLOOKUP(G10&amp;I10,$W$5:$AR$33,G12+17,FALSE)</f>
      </c>
      <c r="K12" s="89">
        <v>2</v>
      </c>
      <c r="L12" s="171" t="str">
        <f>IF('Flying Stars'!$V30="","",'Flying Stars'!$V30)</f>
        <v>NT</v>
      </c>
      <c r="M12" s="340">
        <f>IF('Flying Stars'!$Z30="w",2,IF('Flying Stars'!$Z30="L",0,IF('Flying Stars'!$Z30="T",1,"")))</f>
        <v>0</v>
      </c>
      <c r="N12" s="455">
        <f>VLOOKUP(K10&amp;M10,$W$5:$AR$33,K12+17,FALSE)</f>
      </c>
      <c r="O12" s="89">
        <v>2</v>
      </c>
      <c r="P12" s="171">
        <f>IF('Fast''nFurious Flyballteam'!$V30="","",'Fast''nFurious Flyballteam'!$V30)</f>
        <v>99.99</v>
      </c>
      <c r="Q12" s="340">
        <f>IF('Fast''nFurious Flyballteam'!$Z30="w",2,IF('Fast''nFurious Flyballteam'!$Z30="L",0,IF('Fast''nFurious Flyballteam'!$Z30="T",1,"")))</f>
        <v>2</v>
      </c>
      <c r="R12" s="455">
        <f>VLOOKUP(O10&amp;Q10,$W$5:$AR$33,O12+17,FALSE)</f>
      </c>
      <c r="S12" s="85"/>
      <c r="T12" s="252">
        <f>$K$10</f>
        <v>3</v>
      </c>
      <c r="U12" s="233" t="str">
        <f t="shared" si="0"/>
        <v>3Flying Stars</v>
      </c>
      <c r="V12" s="233" t="str">
        <f>$M$10</f>
        <v>Blauw</v>
      </c>
      <c r="W12" s="233" t="str">
        <f t="shared" si="1"/>
        <v>3Blauw</v>
      </c>
      <c r="X12" s="253" t="str">
        <f>$K$2</f>
        <v>Flying Stars</v>
      </c>
      <c r="Y12" s="254">
        <f>IF('Flying Stars'!$V$29="","",'Flying Stars'!$V$29)</f>
        <v>20.08</v>
      </c>
      <c r="Z12" s="255" t="str">
        <f>IF('Flying Stars'!$V$30="","",'Flying Stars'!$V$30)</f>
        <v>NT</v>
      </c>
      <c r="AA12" s="255">
        <f>IF('Flying Stars'!$V$31="","",'Flying Stars'!$V$31)</f>
        <v>20.54</v>
      </c>
      <c r="AB12" s="255">
        <f>IF('Flying Stars'!$V$32="","",'Flying Stars'!$V$32)</f>
        <v>20.29</v>
      </c>
      <c r="AC12" s="256">
        <f>IF('Flying Stars'!$V$33="","",'Flying Stars'!$V$33)</f>
      </c>
      <c r="AD12" s="257" t="str">
        <f>IF('Flying Stars'!$Z$29="","",'Flying Stars'!$Z$29)</f>
        <v>W</v>
      </c>
      <c r="AE12" s="258" t="str">
        <f>IF('Flying Stars'!$Z$30="","",'Flying Stars'!$Z$30)</f>
        <v>L</v>
      </c>
      <c r="AF12" s="258" t="str">
        <f>IF('Flying Stars'!$Z$31="","",'Flying Stars'!$Z$31)</f>
        <v>W</v>
      </c>
      <c r="AG12" s="258" t="str">
        <f>IF('Flying Stars'!$Z$32="","",'Flying Stars'!$Z$32)</f>
        <v>W</v>
      </c>
      <c r="AH12" s="259">
        <f>IF('Flying Stars'!$Z$33="","",'Flying Stars'!$Z$33)</f>
      </c>
      <c r="AI12" s="252" t="str">
        <f t="shared" si="2"/>
        <v>W</v>
      </c>
      <c r="AJ12" s="233" t="str">
        <f t="shared" si="3"/>
        <v>L</v>
      </c>
      <c r="AK12" s="233" t="str">
        <f t="shared" si="4"/>
        <v>W</v>
      </c>
      <c r="AL12" s="233" t="str">
        <f t="shared" si="5"/>
        <v>W</v>
      </c>
      <c r="AM12" s="260">
        <f t="shared" si="6"/>
      </c>
      <c r="AN12" s="261">
        <f t="shared" si="7"/>
      </c>
      <c r="AO12" s="262">
        <f t="shared" si="8"/>
      </c>
      <c r="AP12" s="262">
        <f t="shared" si="9"/>
      </c>
      <c r="AQ12" s="262">
        <f t="shared" si="10"/>
      </c>
      <c r="AR12" s="263">
        <f t="shared" si="11"/>
      </c>
      <c r="AS12" s="264">
        <f t="shared" si="15"/>
        <v>6</v>
      </c>
      <c r="AT12" s="233">
        <f t="shared" si="12"/>
        <v>0</v>
      </c>
      <c r="AU12" s="233" t="str">
        <f>IF(V12="rood",T12&amp;uitslagen!$I$3,T12&amp;uitslagen!$E$3)</f>
        <v>3Rood</v>
      </c>
      <c r="AV12" s="260" t="str">
        <f t="shared" si="13"/>
        <v>BayernXpress I</v>
      </c>
      <c r="AW12" s="252">
        <f>SUM($AS$11:$AS$13)</f>
        <v>18</v>
      </c>
      <c r="AX12" s="260">
        <f t="shared" si="14"/>
        <v>8</v>
      </c>
    </row>
    <row r="13" spans="1:50" s="32" customFormat="1" ht="17.25" customHeight="1" thickBot="1">
      <c r="A13" s="83"/>
      <c r="B13" s="83"/>
      <c r="C13" s="89">
        <v>3</v>
      </c>
      <c r="D13" s="171" t="str">
        <f>IF('BayernXpress I'!$V31="","",'BayernXpress I'!$V31)</f>
        <v>NT</v>
      </c>
      <c r="E13" s="340">
        <f>IF('BayernXpress I'!$Z31="w",2,IF('BayernXpress I'!$Z31="L",0,IF('BayernXpress I'!$Z31="T",1,"")))</f>
        <v>0</v>
      </c>
      <c r="F13" s="455">
        <f>VLOOKUP(C10&amp;E10,$W$5:$AR$33,C13+17,FALSE)</f>
      </c>
      <c r="G13" s="89">
        <v>3</v>
      </c>
      <c r="H13" s="171" t="str">
        <f>IF('Cool Racers'!$V31="","",'Cool Racers'!$V31)</f>
        <v>NT</v>
      </c>
      <c r="I13" s="340">
        <f>IF('Cool Racers'!$Z31="w",2,IF('Cool Racers'!$Z31="L",0,IF('Cool Racers'!$Z31="T",1,"")))</f>
        <v>1</v>
      </c>
      <c r="J13" s="455">
        <f>VLOOKUP(G10&amp;I10,$W$5:$AR$33,G13+17,FALSE)</f>
      </c>
      <c r="K13" s="89">
        <v>3</v>
      </c>
      <c r="L13" s="171">
        <f>IF('Flying Stars'!$V31="","",'Flying Stars'!$V31)</f>
        <v>20.54</v>
      </c>
      <c r="M13" s="340">
        <f>IF('Flying Stars'!$Z31="w",2,IF('Flying Stars'!$Z31="L",0,IF('Flying Stars'!$Z31="T",1,"")))</f>
        <v>2</v>
      </c>
      <c r="N13" s="455">
        <f>VLOOKUP(K10&amp;M10,$W$5:$AR$33,K13+17,FALSE)</f>
      </c>
      <c r="O13" s="89">
        <v>3</v>
      </c>
      <c r="P13" s="171" t="str">
        <f>IF('Fast''nFurious Flyballteam'!$V31="","",'Fast''nFurious Flyballteam'!$V31)</f>
        <v>NT</v>
      </c>
      <c r="Q13" s="340">
        <f>IF('Fast''nFurious Flyballteam'!$Z31="w",2,IF('Fast''nFurious Flyballteam'!$Z31="L",0,IF('Fast''nFurious Flyballteam'!$Z31="T",1,"")))</f>
        <v>1</v>
      </c>
      <c r="R13" s="455">
        <f>VLOOKUP(O10&amp;Q10,$W$5:$AR$33,O13+17,FALSE)</f>
      </c>
      <c r="S13" s="85"/>
      <c r="T13" s="266">
        <f>$K$17</f>
        <v>5</v>
      </c>
      <c r="U13" s="267" t="str">
        <f t="shared" si="0"/>
        <v>5Flying Stars</v>
      </c>
      <c r="V13" s="267" t="str">
        <f>$M$17</f>
        <v>Rood</v>
      </c>
      <c r="W13" s="267" t="str">
        <f t="shared" si="1"/>
        <v>5Rood</v>
      </c>
      <c r="X13" s="268" t="str">
        <f>$K$2</f>
        <v>Flying Stars</v>
      </c>
      <c r="Y13" s="269">
        <f>IF('Flying Stars'!$V$36="","",'Flying Stars'!$V$36)</f>
        <v>99.99</v>
      </c>
      <c r="Z13" s="270">
        <f>IF('Flying Stars'!$V$37="","",'Flying Stars'!$V$37)</f>
        <v>19.75</v>
      </c>
      <c r="AA13" s="270">
        <f>IF('Flying Stars'!$V$38="","",'Flying Stars'!$V$38)</f>
        <v>20.22</v>
      </c>
      <c r="AB13" s="270">
        <f>IF('Flying Stars'!$V$39="","",'Flying Stars'!$V$39)</f>
        <v>20.06</v>
      </c>
      <c r="AC13" s="271">
        <f>IF('Flying Stars'!$V$40="","",'Flying Stars'!$V$40)</f>
      </c>
      <c r="AD13" s="269" t="str">
        <f>IF('Flying Stars'!$Z$36="","",'Flying Stars'!$Z$36)</f>
        <v>L</v>
      </c>
      <c r="AE13" s="270" t="str">
        <f>IF('Flying Stars'!$Z$37="","",'Flying Stars'!$Z$37)</f>
        <v>W</v>
      </c>
      <c r="AF13" s="270" t="str">
        <f>IF('Flying Stars'!$Z$38="","",'Flying Stars'!$Z$38)</f>
        <v>W</v>
      </c>
      <c r="AG13" s="270" t="str">
        <f>IF('Flying Stars'!$Z$39="","",'Flying Stars'!$Z$39)</f>
        <v>W</v>
      </c>
      <c r="AH13" s="271">
        <f>IF('Flying Stars'!$Z$40="","",'Flying Stars'!$Z$40)</f>
      </c>
      <c r="AI13" s="266" t="str">
        <f t="shared" si="2"/>
        <v>L</v>
      </c>
      <c r="AJ13" s="267" t="str">
        <f t="shared" si="3"/>
        <v>W</v>
      </c>
      <c r="AK13" s="267" t="str">
        <f t="shared" si="4"/>
        <v>W</v>
      </c>
      <c r="AL13" s="267" t="str">
        <f t="shared" si="5"/>
        <v>W</v>
      </c>
      <c r="AM13" s="272">
        <f t="shared" si="6"/>
      </c>
      <c r="AN13" s="273">
        <f t="shared" si="7"/>
      </c>
      <c r="AO13" s="274">
        <f t="shared" si="8"/>
      </c>
      <c r="AP13" s="274">
        <f t="shared" si="9"/>
      </c>
      <c r="AQ13" s="274">
        <f t="shared" si="10"/>
      </c>
      <c r="AR13" s="275">
        <f t="shared" si="11"/>
      </c>
      <c r="AS13" s="276">
        <f t="shared" si="15"/>
        <v>6</v>
      </c>
      <c r="AT13" s="267">
        <f t="shared" si="12"/>
        <v>0</v>
      </c>
      <c r="AU13" s="267" t="str">
        <f>IF(V13="rood",T13&amp;uitslagen!$I$3,T13&amp;uitslagen!$E$3)</f>
        <v>5Blauw</v>
      </c>
      <c r="AV13" s="272" t="str">
        <f t="shared" si="13"/>
        <v>Fast'nFurious Flyballteam</v>
      </c>
      <c r="AW13" s="266">
        <f>SUM($AS$11:$AS$13)</f>
        <v>18</v>
      </c>
      <c r="AX13" s="272">
        <f t="shared" si="14"/>
        <v>17</v>
      </c>
    </row>
    <row r="14" spans="1:50" s="32" customFormat="1" ht="17.25" customHeight="1">
      <c r="A14" s="83"/>
      <c r="B14" s="83"/>
      <c r="C14" s="89">
        <v>4</v>
      </c>
      <c r="D14" s="171" t="str">
        <f>IF('BayernXpress I'!$V32="","",'BayernXpress I'!$V32)</f>
        <v>NT</v>
      </c>
      <c r="E14" s="340">
        <f>IF('BayernXpress I'!$Z32="w",2,IF('BayernXpress I'!$Z32="L",0,IF('BayernXpress I'!$Z32="T",1,"")))</f>
        <v>0</v>
      </c>
      <c r="F14" s="455">
        <f>VLOOKUP(C10&amp;E10,$W$5:$AR$33,C14+17,FALSE)</f>
      </c>
      <c r="G14" s="89">
        <v>4</v>
      </c>
      <c r="H14" s="171" t="str">
        <f>IF('Cool Racers'!$V32="","",'Cool Racers'!$V32)</f>
        <v>NT</v>
      </c>
      <c r="I14" s="340">
        <f>IF('Cool Racers'!$Z32="w",2,IF('Cool Racers'!$Z32="L",0,IF('Cool Racers'!$Z32="T",1,"")))</f>
        <v>0</v>
      </c>
      <c r="J14" s="455">
        <f>VLOOKUP(G10&amp;I10,$W$5:$AR$33,G14+17,FALSE)</f>
      </c>
      <c r="K14" s="89">
        <v>4</v>
      </c>
      <c r="L14" s="171">
        <f>IF('Flying Stars'!$V32="","",'Flying Stars'!$V32)</f>
        <v>20.29</v>
      </c>
      <c r="M14" s="340">
        <f>IF('Flying Stars'!$Z32="w",2,IF('Flying Stars'!$Z32="L",0,IF('Flying Stars'!$Z32="T",1,"")))</f>
        <v>2</v>
      </c>
      <c r="N14" s="455">
        <f>VLOOKUP(K10&amp;M10,$W$5:$AR$33,K14+17,FALSE)</f>
      </c>
      <c r="O14" s="89">
        <v>4</v>
      </c>
      <c r="P14" s="171">
        <f>IF('Fast''nFurious Flyballteam'!$V32="","",'Fast''nFurious Flyballteam'!$V32)</f>
        <v>25</v>
      </c>
      <c r="Q14" s="340">
        <f>IF('Fast''nFurious Flyballteam'!$Z32="w",2,IF('Fast''nFurious Flyballteam'!$Z32="L",0,IF('Fast''nFurious Flyballteam'!$Z32="T",1,"")))</f>
        <v>2</v>
      </c>
      <c r="R14" s="455">
        <f>VLOOKUP(O10&amp;Q10,$W$5:$AR$33,O14+17,FALSE)</f>
      </c>
      <c r="S14" s="85"/>
      <c r="T14" s="237">
        <f>$O$3</f>
        <v>1</v>
      </c>
      <c r="U14" s="238" t="str">
        <f t="shared" si="0"/>
        <v>1Fast'nFurious Flyballteam</v>
      </c>
      <c r="V14" s="238" t="str">
        <f>$Q$3</f>
        <v>Rood</v>
      </c>
      <c r="W14" s="238" t="str">
        <f t="shared" si="1"/>
        <v>1Rood</v>
      </c>
      <c r="X14" s="239" t="str">
        <f>$O$2</f>
        <v>Fast'nFurious Flyballteam</v>
      </c>
      <c r="Y14" s="240">
        <f>IF('Fast''nFurious Flyballteam'!$V$22="","",'Fast''nFurious Flyballteam'!$V$22)</f>
        <v>18.92</v>
      </c>
      <c r="Z14" s="241">
        <f>IF('Fast''nFurious Flyballteam'!$V$23="","",'Fast''nFurious Flyballteam'!$V$23)</f>
        <v>19.73</v>
      </c>
      <c r="AA14" s="241">
        <f>IF('Fast''nFurious Flyballteam'!$V$24="","",'Fast''nFurious Flyballteam'!$V$24)</f>
        <v>20.6</v>
      </c>
      <c r="AB14" s="241">
        <f>IF('Fast''nFurious Flyballteam'!$V$25="","",'Fast''nFurious Flyballteam'!$V$25)</f>
        <v>30.72</v>
      </c>
      <c r="AC14" s="242">
        <f>IF('Fast''nFurious Flyballteam'!$V$26="","",'Fast''nFurious Flyballteam'!$V$26)</f>
      </c>
      <c r="AD14" s="243" t="str">
        <f>IF('Fast''nFurious Flyballteam'!$Z$22="","",'Fast''nFurious Flyballteam'!$Z$22)</f>
        <v>W</v>
      </c>
      <c r="AE14" s="244" t="str">
        <f>IF('Fast''nFurious Flyballteam'!$Z$23="","",'Fast''nFurious Flyballteam'!$Z$23)</f>
        <v>W</v>
      </c>
      <c r="AF14" s="244" t="str">
        <f>IF('Fast''nFurious Flyballteam'!$Z$24="","",'Fast''nFurious Flyballteam'!$Z$24)</f>
        <v>W</v>
      </c>
      <c r="AG14" s="244" t="str">
        <f>IF('Fast''nFurious Flyballteam'!$Z$25="","",'Fast''nFurious Flyballteam'!$Z$25)</f>
        <v>W</v>
      </c>
      <c r="AH14" s="245">
        <f>IF('Fast''nFurious Flyballteam'!$Z$26="","",'Fast''nFurious Flyballteam'!$Z$26)</f>
      </c>
      <c r="AI14" s="237" t="str">
        <f t="shared" si="2"/>
        <v>W</v>
      </c>
      <c r="AJ14" s="238" t="str">
        <f t="shared" si="3"/>
        <v>W</v>
      </c>
      <c r="AK14" s="238" t="str">
        <f t="shared" si="4"/>
        <v>W</v>
      </c>
      <c r="AL14" s="238" t="str">
        <f t="shared" si="5"/>
        <v>W</v>
      </c>
      <c r="AM14" s="246">
        <f t="shared" si="6"/>
      </c>
      <c r="AN14" s="247">
        <f t="shared" si="7"/>
      </c>
      <c r="AO14" s="248">
        <f t="shared" si="8"/>
      </c>
      <c r="AP14" s="248">
        <f t="shared" si="9"/>
      </c>
      <c r="AQ14" s="248">
        <f t="shared" si="10"/>
      </c>
      <c r="AR14" s="249">
        <f t="shared" si="11"/>
      </c>
      <c r="AS14" s="250">
        <f t="shared" si="15"/>
        <v>8</v>
      </c>
      <c r="AT14" s="238">
        <f t="shared" si="12"/>
        <v>0</v>
      </c>
      <c r="AU14" s="238" t="str">
        <f>IF(V14="rood",T14&amp;uitslagen!$I$3,T14&amp;uitslagen!$E$3)</f>
        <v>1Blauw</v>
      </c>
      <c r="AV14" s="246" t="str">
        <f t="shared" si="13"/>
        <v>BayernXpress I</v>
      </c>
      <c r="AW14" s="237">
        <f>SUM($AS$14:$AS$16)</f>
        <v>17</v>
      </c>
      <c r="AX14" s="246">
        <f t="shared" si="14"/>
        <v>8</v>
      </c>
    </row>
    <row r="15" spans="1:50" s="32" customFormat="1" ht="17.25" customHeight="1">
      <c r="A15" s="83"/>
      <c r="B15" s="83"/>
      <c r="C15" s="89">
        <v>5</v>
      </c>
      <c r="D15" s="171">
        <f>IF('BayernXpress I'!$V33="","",'BayernXpress I'!$V33)</f>
      </c>
      <c r="E15" s="340">
        <f>IF('BayernXpress I'!$Z33="w",2,IF('BayernXpress I'!$Z33="L",0,IF('BayernXpress I'!$Z33="T",1,"")))</f>
      </c>
      <c r="F15" s="455">
        <f>VLOOKUP(C10&amp;E10,$W$5:$AR$33,C15+17,FALSE)</f>
      </c>
      <c r="G15" s="89">
        <v>5</v>
      </c>
      <c r="H15" s="171">
        <f>IF('Cool Racers'!$V33="","",'Cool Racers'!$V33)</f>
      </c>
      <c r="I15" s="340">
        <f>IF('Cool Racers'!$Z33="w",2,IF('Cool Racers'!$Z33="L",0,IF('Cool Racers'!$Z33="T",1,"")))</f>
      </c>
      <c r="J15" s="455">
        <f>VLOOKUP(G10&amp;I10,$W$5:$AR$33,G15+17,FALSE)</f>
      </c>
      <c r="K15" s="89">
        <v>5</v>
      </c>
      <c r="L15" s="171">
        <f>IF('Flying Stars'!$V33="","",'Flying Stars'!$V33)</f>
      </c>
      <c r="M15" s="340">
        <f>IF('Flying Stars'!$Z33="w",2,IF('Flying Stars'!$Z33="L",0,IF('Flying Stars'!$Z33="T",1,"")))</f>
      </c>
      <c r="N15" s="455">
        <f>VLOOKUP(K10&amp;M10,$W$5:$AR$33,K15+17,FALSE)</f>
      </c>
      <c r="O15" s="89">
        <v>5</v>
      </c>
      <c r="P15" s="171">
        <f>IF('Fast''nFurious Flyballteam'!$V33="","",'Fast''nFurious Flyballteam'!$V33)</f>
      </c>
      <c r="Q15" s="340">
        <f>IF('Fast''nFurious Flyballteam'!$Z33="w",2,IF('Fast''nFurious Flyballteam'!$Z33="L",0,IF('Fast''nFurious Flyballteam'!$Z33="T",1,"")))</f>
      </c>
      <c r="R15" s="455">
        <f>VLOOKUP(O10&amp;Q10,$W$5:$AR$33,O15+17,FALSE)</f>
      </c>
      <c r="S15" s="85"/>
      <c r="T15" s="252">
        <f>$O$10</f>
        <v>4</v>
      </c>
      <c r="U15" s="233" t="str">
        <f t="shared" si="0"/>
        <v>4Fast'nFurious Flyballteam</v>
      </c>
      <c r="V15" s="233" t="str">
        <f>$Q$10</f>
        <v>Rood</v>
      </c>
      <c r="W15" s="233" t="str">
        <f t="shared" si="1"/>
        <v>4Rood</v>
      </c>
      <c r="X15" s="253" t="str">
        <f>$O$2</f>
        <v>Fast'nFurious Flyballteam</v>
      </c>
      <c r="Y15" s="254">
        <f>IF('Fast''nFurious Flyballteam'!$V$29="","",'Fast''nFurious Flyballteam'!$V$29)</f>
        <v>21.67</v>
      </c>
      <c r="Z15" s="255">
        <f>IF('Fast''nFurious Flyballteam'!$V$30="","",'Fast''nFurious Flyballteam'!$V$30)</f>
        <v>99.99</v>
      </c>
      <c r="AA15" s="255" t="str">
        <f>IF('Fast''nFurious Flyballteam'!$V$31="","",'Fast''nFurious Flyballteam'!$V$31)</f>
        <v>NT</v>
      </c>
      <c r="AB15" s="255">
        <f>IF('Fast''nFurious Flyballteam'!$V$32="","",'Fast''nFurious Flyballteam'!$V$32)</f>
        <v>25</v>
      </c>
      <c r="AC15" s="256">
        <f>IF('Fast''nFurious Flyballteam'!$V$33="","",'Fast''nFurious Flyballteam'!$V$33)</f>
      </c>
      <c r="AD15" s="257" t="str">
        <f>IF('Fast''nFurious Flyballteam'!$Z$29="","",'Fast''nFurious Flyballteam'!$Z$29)</f>
        <v>W</v>
      </c>
      <c r="AE15" s="258" t="str">
        <f>IF('Fast''nFurious Flyballteam'!$Z$30="","",'Fast''nFurious Flyballteam'!$Z$30)</f>
        <v>W</v>
      </c>
      <c r="AF15" s="258" t="str">
        <f>IF('Fast''nFurious Flyballteam'!$Z$31="","",'Fast''nFurious Flyballteam'!$Z$31)</f>
        <v>T</v>
      </c>
      <c r="AG15" s="258" t="str">
        <f>IF('Fast''nFurious Flyballteam'!$Z$32="","",'Fast''nFurious Flyballteam'!$Z$32)</f>
        <v>W</v>
      </c>
      <c r="AH15" s="259">
        <f>IF('Fast''nFurious Flyballteam'!$Z$33="","",'Fast''nFurious Flyballteam'!$Z$33)</f>
      </c>
      <c r="AI15" s="252" t="str">
        <f t="shared" si="2"/>
        <v>W</v>
      </c>
      <c r="AJ15" s="233" t="str">
        <f t="shared" si="3"/>
        <v>W</v>
      </c>
      <c r="AK15" s="233" t="str">
        <f t="shared" si="4"/>
        <v>T</v>
      </c>
      <c r="AL15" s="233" t="str">
        <f t="shared" si="5"/>
        <v>W</v>
      </c>
      <c r="AM15" s="260">
        <f t="shared" si="6"/>
      </c>
      <c r="AN15" s="261">
        <f t="shared" si="7"/>
      </c>
      <c r="AO15" s="262">
        <f t="shared" si="8"/>
      </c>
      <c r="AP15" s="262">
        <f t="shared" si="9"/>
      </c>
      <c r="AQ15" s="262">
        <f t="shared" si="10"/>
      </c>
      <c r="AR15" s="263">
        <f t="shared" si="11"/>
      </c>
      <c r="AS15" s="264">
        <f t="shared" si="15"/>
        <v>7</v>
      </c>
      <c r="AT15" s="233">
        <f t="shared" si="12"/>
        <v>0</v>
      </c>
      <c r="AU15" s="233" t="str">
        <f>IF(V15="rood",T15&amp;uitslagen!$I$3,T15&amp;uitslagen!$E$3)</f>
        <v>4Blauw</v>
      </c>
      <c r="AV15" s="260" t="str">
        <f t="shared" si="13"/>
        <v>Cool Racers</v>
      </c>
      <c r="AW15" s="252">
        <f>SUM($AS$14:$AS$16)</f>
        <v>17</v>
      </c>
      <c r="AX15" s="260">
        <f t="shared" si="14"/>
        <v>5</v>
      </c>
    </row>
    <row r="16" spans="1:50" ht="17.25" customHeight="1" thickBot="1">
      <c r="A16" s="83"/>
      <c r="D16" s="92"/>
      <c r="F16" s="79"/>
      <c r="H16" s="92"/>
      <c r="J16" s="79"/>
      <c r="L16" s="92"/>
      <c r="N16" s="79"/>
      <c r="P16" s="92"/>
      <c r="R16" s="79"/>
      <c r="T16" s="266">
        <f>$O$17</f>
        <v>5</v>
      </c>
      <c r="U16" s="267" t="str">
        <f t="shared" si="0"/>
        <v>5Fast'nFurious Flyballteam</v>
      </c>
      <c r="V16" s="267" t="str">
        <f>$Q$17</f>
        <v>Blauw</v>
      </c>
      <c r="W16" s="267" t="str">
        <f t="shared" si="1"/>
        <v>5Blauw</v>
      </c>
      <c r="X16" s="268" t="str">
        <f>$O$2</f>
        <v>Fast'nFurious Flyballteam</v>
      </c>
      <c r="Y16" s="269">
        <f>IF('Fast''nFurious Flyballteam'!$V$36="","",'Fast''nFurious Flyballteam'!$V$36)</f>
        <v>30.22</v>
      </c>
      <c r="Z16" s="270">
        <f>IF('Fast''nFurious Flyballteam'!$V$37="","",'Fast''nFurious Flyballteam'!$V$37)</f>
        <v>39.46</v>
      </c>
      <c r="AA16" s="270">
        <f>IF('Fast''nFurious Flyballteam'!$V$38="","",'Fast''nFurious Flyballteam'!$V$38)</f>
        <v>33.87</v>
      </c>
      <c r="AB16" s="270">
        <f>IF('Fast''nFurious Flyballteam'!$V$39="","",'Fast''nFurious Flyballteam'!$V$39)</f>
        <v>27.15</v>
      </c>
      <c r="AC16" s="271">
        <f>IF('Fast''nFurious Flyballteam'!$V$40="","",'Fast''nFurious Flyballteam'!$V$40)</f>
      </c>
      <c r="AD16" s="269" t="str">
        <f>IF('Fast''nFurious Flyballteam'!$Z$36="","",'Fast''nFurious Flyballteam'!$Z$36)</f>
        <v>W</v>
      </c>
      <c r="AE16" s="270" t="str">
        <f>IF('Fast''nFurious Flyballteam'!$Z$37="","",'Fast''nFurious Flyballteam'!$Z$37)</f>
        <v>L</v>
      </c>
      <c r="AF16" s="270" t="str">
        <f>IF('Fast''nFurious Flyballteam'!$Z$38="","",'Fast''nFurious Flyballteam'!$Z$38)</f>
        <v>L</v>
      </c>
      <c r="AG16" s="270" t="str">
        <f>IF('Fast''nFurious Flyballteam'!$Z$39="","",'Fast''nFurious Flyballteam'!$Z$39)</f>
        <v>L</v>
      </c>
      <c r="AH16" s="271">
        <f>IF('Fast''nFurious Flyballteam'!$Z$40="","",'Fast''nFurious Flyballteam'!$Z$40)</f>
      </c>
      <c r="AI16" s="266" t="str">
        <f t="shared" si="2"/>
        <v>W</v>
      </c>
      <c r="AJ16" s="267" t="str">
        <f t="shared" si="3"/>
        <v>L</v>
      </c>
      <c r="AK16" s="267" t="str">
        <f t="shared" si="4"/>
        <v>L</v>
      </c>
      <c r="AL16" s="267" t="str">
        <f t="shared" si="5"/>
        <v>L</v>
      </c>
      <c r="AM16" s="272">
        <f t="shared" si="6"/>
      </c>
      <c r="AN16" s="273">
        <f t="shared" si="7"/>
      </c>
      <c r="AO16" s="274">
        <f t="shared" si="8"/>
      </c>
      <c r="AP16" s="274">
        <f t="shared" si="9"/>
      </c>
      <c r="AQ16" s="274">
        <f t="shared" si="10"/>
      </c>
      <c r="AR16" s="275">
        <f t="shared" si="11"/>
      </c>
      <c r="AS16" s="276">
        <f t="shared" si="15"/>
        <v>2</v>
      </c>
      <c r="AT16" s="267">
        <f t="shared" si="12"/>
        <v>0</v>
      </c>
      <c r="AU16" s="267" t="str">
        <f>IF(V16="rood",T16&amp;uitslagen!$I$3,T16&amp;uitslagen!$E$3)</f>
        <v>5Rood</v>
      </c>
      <c r="AV16" s="272" t="str">
        <f t="shared" si="13"/>
        <v>Flying Stars</v>
      </c>
      <c r="AW16" s="266">
        <f>SUM($AS$14:$AS$16)</f>
        <v>17</v>
      </c>
      <c r="AX16" s="272">
        <f t="shared" si="14"/>
        <v>18</v>
      </c>
    </row>
    <row r="17" spans="1:50" ht="21" customHeight="1" thickBot="1">
      <c r="A17" s="82">
        <v>3</v>
      </c>
      <c r="C17" s="194">
        <f>VLOOKUP($A17,uitslagen!Z$4:AB$47,2,FALSE)</f>
        <v>6</v>
      </c>
      <c r="D17" s="192" t="str">
        <f>VLOOKUP(E17,'[1]Strings'!$A$3:$K$102,'[1]Strings'!$A$1,FALSE)</f>
        <v>Rot</v>
      </c>
      <c r="E17" s="462" t="str">
        <f>VLOOKUP($A17,uitslagen!Z$4:AB$47,3,FALSE)</f>
        <v>Rood</v>
      </c>
      <c r="F17" s="79"/>
      <c r="G17" s="193">
        <f>VLOOKUP($A17,uitslagen!AD$4:AF$47,2,FALSE)</f>
        <v>6</v>
      </c>
      <c r="H17" s="457" t="str">
        <f>VLOOKUP(I17,'[1]Strings'!$A$3:$K$102,'[1]Strings'!$A$1,FALSE)</f>
        <v>Blau</v>
      </c>
      <c r="I17" s="459" t="str">
        <f>VLOOKUP($A17,uitslagen!AD$4:AF$47,3,FALSE)</f>
        <v>Blauw</v>
      </c>
      <c r="J17" s="79"/>
      <c r="K17" s="194">
        <f>VLOOKUP($A17,uitslagen!AH$4:AJ$47,2,FALSE)</f>
        <v>5</v>
      </c>
      <c r="L17" s="458" t="str">
        <f>VLOOKUP(M17,'[1]Strings'!$A$3:$K$102,'[1]Strings'!$A$1,FALSE)</f>
        <v>Rot</v>
      </c>
      <c r="M17" s="462" t="str">
        <f>VLOOKUP($A17,uitslagen!AH$4:AJ$47,3,FALSE)</f>
        <v>Rood</v>
      </c>
      <c r="N17" s="79"/>
      <c r="O17" s="193">
        <f>VLOOKUP($A17,uitslagen!AL$4:AN$47,2,FALSE)</f>
        <v>5</v>
      </c>
      <c r="P17" s="457" t="str">
        <f>VLOOKUP(Q17,'[1]Strings'!$A$3:$K$102,'[1]Strings'!$A$1,FALSE)</f>
        <v>Blau</v>
      </c>
      <c r="Q17" s="459" t="str">
        <f>VLOOKUP($A17,uitslagen!AL$4:AN$47,3,FALSE)</f>
        <v>Blauw</v>
      </c>
      <c r="R17" s="79"/>
      <c r="T17" s="377"/>
      <c r="U17" s="378"/>
      <c r="V17" s="378"/>
      <c r="W17" s="378"/>
      <c r="X17" s="379"/>
      <c r="Y17" s="380"/>
      <c r="Z17" s="381"/>
      <c r="AA17" s="381"/>
      <c r="AB17" s="381"/>
      <c r="AC17" s="382"/>
      <c r="AD17" s="380"/>
      <c r="AE17" s="381"/>
      <c r="AF17" s="381"/>
      <c r="AG17" s="381"/>
      <c r="AH17" s="382"/>
      <c r="AI17" s="377"/>
      <c r="AJ17" s="378"/>
      <c r="AK17" s="378"/>
      <c r="AL17" s="378"/>
      <c r="AM17" s="383"/>
      <c r="AN17" s="384"/>
      <c r="AO17" s="385"/>
      <c r="AP17" s="385"/>
      <c r="AQ17" s="385"/>
      <c r="AR17" s="386"/>
      <c r="AS17" s="387"/>
      <c r="AT17" s="378"/>
      <c r="AU17" s="378"/>
      <c r="AV17" s="383"/>
      <c r="AW17" s="377"/>
      <c r="AX17" s="383"/>
    </row>
    <row r="18" spans="2:48" s="32" customFormat="1" ht="17.25" customHeight="1">
      <c r="B18" s="83"/>
      <c r="C18" s="89">
        <v>1</v>
      </c>
      <c r="D18" s="171">
        <f>IF('BayernXpress I'!$V36="","",'BayernXpress I'!$V36)</f>
        <v>55.96</v>
      </c>
      <c r="E18" s="340">
        <f>IF('BayernXpress I'!$Z36="w",2,IF('BayernXpress I'!$Z36="L",0,IF('BayernXpress I'!$Z36="T",1,"")))</f>
        <v>2</v>
      </c>
      <c r="F18" s="455">
        <f>VLOOKUP(C17&amp;E17,$W$5:$AR$33,C18+17,FALSE)</f>
      </c>
      <c r="G18" s="89">
        <v>1</v>
      </c>
      <c r="H18" s="171" t="str">
        <f>IF('Cool Racers'!$V36="","",'Cool Racers'!$V36)</f>
        <v>NT</v>
      </c>
      <c r="I18" s="340">
        <f>IF('Cool Racers'!$Z36="w",2,IF('Cool Racers'!$Z36="L",0,IF('Cool Racers'!$Z36="T",1,"")))</f>
        <v>0</v>
      </c>
      <c r="J18" s="455">
        <f>VLOOKUP(G17&amp;I17,$W$5:$AR$33,G18+17,FALSE)</f>
      </c>
      <c r="K18" s="89">
        <v>1</v>
      </c>
      <c r="L18" s="171">
        <f>IF('Flying Stars'!$V36="","",'Flying Stars'!$V36)</f>
        <v>99.99</v>
      </c>
      <c r="M18" s="340">
        <f>IF('Flying Stars'!$Z36="w",2,IF('Flying Stars'!$Z36="L",0,IF('Flying Stars'!$Z36="T",1,"")))</f>
        <v>0</v>
      </c>
      <c r="N18" s="455">
        <f>VLOOKUP(K17&amp;M17,$W$5:$AR$33,K18+17,FALSE)</f>
      </c>
      <c r="O18" s="89">
        <v>1</v>
      </c>
      <c r="P18" s="171">
        <f>IF('Fast''nFurious Flyballteam'!$V36="","",'Fast''nFurious Flyballteam'!$V36)</f>
        <v>30.22</v>
      </c>
      <c r="Q18" s="340">
        <f>IF('Fast''nFurious Flyballteam'!$Z36="w",2,IF('Fast''nFurious Flyballteam'!$Z36="L",0,IF('Fast''nFurious Flyballteam'!$Z36="T",1,"")))</f>
        <v>2</v>
      </c>
      <c r="R18" s="455">
        <f>VLOOKUP(O17&amp;Q17,$W$5:$AR$33,O18+17,FALSE)</f>
      </c>
      <c r="S18" s="85"/>
      <c r="T18" s="83"/>
      <c r="U18" s="83"/>
      <c r="V18" s="83"/>
      <c r="W18" s="83"/>
      <c r="X18" s="84"/>
      <c r="Y18" s="172"/>
      <c r="Z18" s="172"/>
      <c r="AA18" s="172"/>
      <c r="AB18" s="172"/>
      <c r="AC18" s="172"/>
      <c r="AD18" s="173"/>
      <c r="AE18" s="173"/>
      <c r="AF18" s="173"/>
      <c r="AG18" s="173"/>
      <c r="AH18" s="173"/>
      <c r="AI18" s="83"/>
      <c r="AJ18" s="83"/>
      <c r="AK18" s="83"/>
      <c r="AL18" s="83"/>
      <c r="AM18" s="83"/>
      <c r="AN18" s="11"/>
      <c r="AO18" s="11"/>
      <c r="AP18" s="11"/>
      <c r="AQ18" s="11"/>
      <c r="AR18" s="11"/>
      <c r="AS18" s="83"/>
      <c r="AT18" s="83"/>
      <c r="AU18" s="83"/>
      <c r="AV18" s="83"/>
    </row>
    <row r="19" spans="2:48" s="32" customFormat="1" ht="17.25" customHeight="1">
      <c r="B19" s="83"/>
      <c r="C19" s="89">
        <v>2</v>
      </c>
      <c r="D19" s="171">
        <f>IF('BayernXpress I'!$V37="","",'BayernXpress I'!$V37)</f>
        <v>60.46</v>
      </c>
      <c r="E19" s="340">
        <f>IF('BayernXpress I'!$Z37="w",2,IF('BayernXpress I'!$Z37="L",0,IF('BayernXpress I'!$Z37="T",1,"")))</f>
        <v>2</v>
      </c>
      <c r="F19" s="455">
        <f>VLOOKUP(C17&amp;E17,$W$5:$AR$33,C19+17,FALSE)</f>
      </c>
      <c r="G19" s="89">
        <v>2</v>
      </c>
      <c r="H19" s="171" t="str">
        <f>IF('Cool Racers'!$V37="","",'Cool Racers'!$V37)</f>
        <v>NT</v>
      </c>
      <c r="I19" s="340">
        <f>IF('Cool Racers'!$Z37="w",2,IF('Cool Racers'!$Z37="L",0,IF('Cool Racers'!$Z37="T",1,"")))</f>
        <v>0</v>
      </c>
      <c r="J19" s="455">
        <f>VLOOKUP(G17&amp;I17,$W$5:$AR$33,G19+17,FALSE)</f>
      </c>
      <c r="K19" s="89">
        <v>2</v>
      </c>
      <c r="L19" s="171">
        <f>IF('Flying Stars'!$V37="","",'Flying Stars'!$V37)</f>
        <v>19.75</v>
      </c>
      <c r="M19" s="340">
        <f>IF('Flying Stars'!$Z37="w",2,IF('Flying Stars'!$Z37="L",0,IF('Flying Stars'!$Z37="T",1,"")))</f>
        <v>2</v>
      </c>
      <c r="N19" s="455">
        <f>VLOOKUP(K17&amp;M17,$W$5:$AR$33,K19+17,FALSE)</f>
      </c>
      <c r="O19" s="89">
        <v>2</v>
      </c>
      <c r="P19" s="171">
        <f>IF('Fast''nFurious Flyballteam'!$V37="","",'Fast''nFurious Flyballteam'!$V37)</f>
        <v>39.46</v>
      </c>
      <c r="Q19" s="340">
        <f>IF('Fast''nFurious Flyballteam'!$Z37="w",2,IF('Fast''nFurious Flyballteam'!$Z37="L",0,IF('Fast''nFurious Flyballteam'!$Z37="T",1,"")))</f>
        <v>0</v>
      </c>
      <c r="R19" s="455">
        <f>VLOOKUP(O17&amp;Q17,$W$5:$AR$33,O19+17,FALSE)</f>
      </c>
      <c r="S19" s="85"/>
      <c r="T19" s="83"/>
      <c r="U19" s="83"/>
      <c r="V19" s="83"/>
      <c r="W19" s="83"/>
      <c r="X19" s="84"/>
      <c r="Y19" s="172"/>
      <c r="Z19" s="172"/>
      <c r="AA19" s="172"/>
      <c r="AB19" s="172"/>
      <c r="AC19" s="172"/>
      <c r="AD19" s="173"/>
      <c r="AE19" s="173"/>
      <c r="AF19" s="173"/>
      <c r="AG19" s="173"/>
      <c r="AH19" s="173"/>
      <c r="AI19" s="83"/>
      <c r="AJ19" s="83"/>
      <c r="AK19" s="83"/>
      <c r="AL19" s="83"/>
      <c r="AM19" s="83"/>
      <c r="AN19" s="11"/>
      <c r="AO19" s="11"/>
      <c r="AP19" s="11"/>
      <c r="AQ19" s="11"/>
      <c r="AR19" s="11"/>
      <c r="AS19" s="83"/>
      <c r="AT19" s="83"/>
      <c r="AU19" s="83"/>
      <c r="AV19" s="83"/>
    </row>
    <row r="20" spans="2:48" s="32" customFormat="1" ht="17.25" customHeight="1">
      <c r="B20" s="83"/>
      <c r="C20" s="89">
        <v>3</v>
      </c>
      <c r="D20" s="171">
        <f>IF('BayernXpress I'!$V38="","",'BayernXpress I'!$V38)</f>
        <v>21.69</v>
      </c>
      <c r="E20" s="340">
        <f>IF('BayernXpress I'!$Z38="w",2,IF('BayernXpress I'!$Z38="L",0,IF('BayernXpress I'!$Z38="T",1,"")))</f>
        <v>0</v>
      </c>
      <c r="F20" s="455">
        <f>VLOOKUP(C17&amp;E17,$W$5:$AR$33,C20+17,FALSE)</f>
      </c>
      <c r="G20" s="89">
        <v>3</v>
      </c>
      <c r="H20" s="171">
        <f>IF('Cool Racers'!$V38="","",'Cool Racers'!$V38)</f>
        <v>20.53</v>
      </c>
      <c r="I20" s="340">
        <f>IF('Cool Racers'!$Z38="w",2,IF('Cool Racers'!$Z38="L",0,IF('Cool Racers'!$Z38="T",1,"")))</f>
        <v>2</v>
      </c>
      <c r="J20" s="455">
        <f>VLOOKUP(G17&amp;I17,$W$5:$AR$33,G20+17,FALSE)</f>
      </c>
      <c r="K20" s="89">
        <v>3</v>
      </c>
      <c r="L20" s="171">
        <f>IF('Flying Stars'!$V38="","",'Flying Stars'!$V38)</f>
        <v>20.22</v>
      </c>
      <c r="M20" s="340">
        <f>IF('Flying Stars'!$Z38="w",2,IF('Flying Stars'!$Z38="L",0,IF('Flying Stars'!$Z38="T",1,"")))</f>
        <v>2</v>
      </c>
      <c r="N20" s="455">
        <f>VLOOKUP(K17&amp;M17,$W$5:$AR$33,K20+17,FALSE)</f>
      </c>
      <c r="O20" s="89">
        <v>3</v>
      </c>
      <c r="P20" s="171">
        <f>IF('Fast''nFurious Flyballteam'!$V38="","",'Fast''nFurious Flyballteam'!$V38)</f>
        <v>33.87</v>
      </c>
      <c r="Q20" s="340">
        <f>IF('Fast''nFurious Flyballteam'!$Z38="w",2,IF('Fast''nFurious Flyballteam'!$Z38="L",0,IF('Fast''nFurious Flyballteam'!$Z38="T",1,"")))</f>
        <v>0</v>
      </c>
      <c r="R20" s="455">
        <f>VLOOKUP(O17&amp;Q17,$W$5:$AR$33,O20+17,FALSE)</f>
      </c>
      <c r="S20" s="85"/>
      <c r="T20" s="83"/>
      <c r="U20" s="83"/>
      <c r="V20" s="83"/>
      <c r="W20" s="83"/>
      <c r="X20" s="84"/>
      <c r="Y20" s="172"/>
      <c r="Z20" s="172"/>
      <c r="AA20" s="172"/>
      <c r="AB20" s="172"/>
      <c r="AC20" s="172"/>
      <c r="AD20" s="173"/>
      <c r="AE20" s="173"/>
      <c r="AF20" s="173"/>
      <c r="AG20" s="173"/>
      <c r="AH20" s="173"/>
      <c r="AI20" s="83"/>
      <c r="AJ20" s="83"/>
      <c r="AK20" s="83"/>
      <c r="AL20" s="83"/>
      <c r="AM20" s="83"/>
      <c r="AN20" s="11"/>
      <c r="AO20" s="11"/>
      <c r="AP20" s="11"/>
      <c r="AQ20" s="11"/>
      <c r="AR20" s="11"/>
      <c r="AS20" s="83"/>
      <c r="AT20" s="83"/>
      <c r="AU20" s="83"/>
      <c r="AV20" s="83"/>
    </row>
    <row r="21" spans="2:48" s="32" customFormat="1" ht="17.25" customHeight="1">
      <c r="B21" s="83"/>
      <c r="C21" s="89">
        <v>4</v>
      </c>
      <c r="D21" s="171">
        <f>IF('BayernXpress I'!$V39="","",'BayernXpress I'!$V39)</f>
        <v>51.8</v>
      </c>
      <c r="E21" s="340">
        <f>IF('BayernXpress I'!$Z39="w",2,IF('BayernXpress I'!$Z39="L",0,IF('BayernXpress I'!$Z39="T",1,"")))</f>
        <v>2</v>
      </c>
      <c r="F21" s="455">
        <f>VLOOKUP(C17&amp;E17,$W$5:$AR$33,C21+17,FALSE)</f>
      </c>
      <c r="G21" s="89">
        <v>4</v>
      </c>
      <c r="H21" s="171" t="str">
        <f>IF('Cool Racers'!$V39="","",'Cool Racers'!$V39)</f>
        <v>NT</v>
      </c>
      <c r="I21" s="340">
        <f>IF('Cool Racers'!$Z39="w",2,IF('Cool Racers'!$Z39="L",0,IF('Cool Racers'!$Z39="T",1,"")))</f>
        <v>0</v>
      </c>
      <c r="J21" s="455">
        <f>VLOOKUP(G17&amp;I17,$W$5:$AR$33,G21+17,FALSE)</f>
      </c>
      <c r="K21" s="89">
        <v>4</v>
      </c>
      <c r="L21" s="171">
        <f>IF('Flying Stars'!$V39="","",'Flying Stars'!$V39)</f>
        <v>20.06</v>
      </c>
      <c r="M21" s="340">
        <f>IF('Flying Stars'!$Z39="w",2,IF('Flying Stars'!$Z39="L",0,IF('Flying Stars'!$Z39="T",1,"")))</f>
        <v>2</v>
      </c>
      <c r="N21" s="455">
        <f>VLOOKUP(K17&amp;M17,$W$5:$AR$33,K21+17,FALSE)</f>
      </c>
      <c r="O21" s="89">
        <v>4</v>
      </c>
      <c r="P21" s="171">
        <f>IF('Fast''nFurious Flyballteam'!$V39="","",'Fast''nFurious Flyballteam'!$V39)</f>
        <v>27.15</v>
      </c>
      <c r="Q21" s="340">
        <f>IF('Fast''nFurious Flyballteam'!$Z39="w",2,IF('Fast''nFurious Flyballteam'!$Z39="L",0,IF('Fast''nFurious Flyballteam'!$Z39="T",1,"")))</f>
        <v>0</v>
      </c>
      <c r="R21" s="455">
        <f>VLOOKUP(O17&amp;Q17,$W$5:$AR$33,O21+17,FALSE)</f>
      </c>
      <c r="S21" s="85"/>
      <c r="T21" s="83"/>
      <c r="U21" s="83"/>
      <c r="V21" s="83"/>
      <c r="W21" s="83"/>
      <c r="X21" s="84"/>
      <c r="Y21" s="172"/>
      <c r="Z21" s="172"/>
      <c r="AA21" s="172"/>
      <c r="AB21" s="172"/>
      <c r="AC21" s="172"/>
      <c r="AD21" s="173"/>
      <c r="AE21" s="173"/>
      <c r="AF21" s="173"/>
      <c r="AG21" s="173"/>
      <c r="AH21" s="173"/>
      <c r="AI21" s="83"/>
      <c r="AJ21" s="83"/>
      <c r="AK21" s="83"/>
      <c r="AL21" s="83"/>
      <c r="AM21" s="83"/>
      <c r="AN21" s="11"/>
      <c r="AO21" s="11"/>
      <c r="AP21" s="11"/>
      <c r="AQ21" s="11"/>
      <c r="AR21" s="11"/>
      <c r="AS21" s="83"/>
      <c r="AT21" s="83"/>
      <c r="AU21" s="83"/>
      <c r="AV21" s="83"/>
    </row>
    <row r="22" spans="2:48" s="32" customFormat="1" ht="17.25" customHeight="1">
      <c r="B22" s="83"/>
      <c r="C22" s="89">
        <v>5</v>
      </c>
      <c r="D22" s="171">
        <f>IF('BayernXpress I'!$V40="","",'BayernXpress I'!$V40)</f>
      </c>
      <c r="E22" s="340">
        <f>IF('BayernXpress I'!$Z40="w",2,IF('BayernXpress I'!$Z40="L",0,IF('BayernXpress I'!$Z40="T",1,"")))</f>
      </c>
      <c r="F22" s="455">
        <f>VLOOKUP(C17&amp;E17,$W$5:$AR$33,C22+17,FALSE)</f>
      </c>
      <c r="G22" s="89">
        <v>5</v>
      </c>
      <c r="H22" s="171">
        <f>IF('Cool Racers'!$V40="","",'Cool Racers'!$V40)</f>
      </c>
      <c r="I22" s="340">
        <f>IF('Cool Racers'!$Z40="w",2,IF('Cool Racers'!$Z40="L",0,IF('Cool Racers'!$Z40="T",1,"")))</f>
      </c>
      <c r="J22" s="455">
        <f>VLOOKUP(G17&amp;I17,$W$5:$AR$33,G22+17,FALSE)</f>
      </c>
      <c r="K22" s="89">
        <v>5</v>
      </c>
      <c r="L22" s="171">
        <f>IF('Flying Stars'!$V40="","",'Flying Stars'!$V40)</f>
      </c>
      <c r="M22" s="340">
        <f>IF('Flying Stars'!$Z40="w",2,IF('Flying Stars'!$Z40="L",0,IF('Flying Stars'!$Z40="T",1,"")))</f>
      </c>
      <c r="N22" s="455">
        <f>VLOOKUP(K17&amp;M17,$W$5:$AR$33,K22+17,FALSE)</f>
      </c>
      <c r="O22" s="89">
        <v>5</v>
      </c>
      <c r="P22" s="171">
        <f>IF('Fast''nFurious Flyballteam'!$V40="","",'Fast''nFurious Flyballteam'!$V40)</f>
      </c>
      <c r="Q22" s="340">
        <f>IF('Fast''nFurious Flyballteam'!$Z40="w",2,IF('Fast''nFurious Flyballteam'!$Z40="L",0,IF('Fast''nFurious Flyballteam'!$Z40="T",1,"")))</f>
      </c>
      <c r="R22" s="455">
        <f>VLOOKUP(O17&amp;Q17,$W$5:$AR$33,O22+17,FALSE)</f>
      </c>
      <c r="S22" s="85"/>
      <c r="T22" s="83"/>
      <c r="U22" s="83"/>
      <c r="V22" s="83"/>
      <c r="W22" s="83"/>
      <c r="X22" s="84"/>
      <c r="Y22" s="172"/>
      <c r="Z22" s="172"/>
      <c r="AA22" s="172"/>
      <c r="AB22" s="172"/>
      <c r="AC22" s="172"/>
      <c r="AD22" s="173"/>
      <c r="AE22" s="173"/>
      <c r="AF22" s="173"/>
      <c r="AG22" s="173"/>
      <c r="AH22" s="173"/>
      <c r="AI22" s="83"/>
      <c r="AJ22" s="83"/>
      <c r="AK22" s="83"/>
      <c r="AL22" s="83"/>
      <c r="AM22" s="83"/>
      <c r="AN22" s="11"/>
      <c r="AO22" s="11"/>
      <c r="AP22" s="11"/>
      <c r="AQ22" s="11"/>
      <c r="AR22" s="11"/>
      <c r="AS22" s="83"/>
      <c r="AT22" s="83"/>
      <c r="AU22" s="83"/>
      <c r="AV22" s="83"/>
    </row>
    <row r="23" spans="1:50" ht="17.25" customHeight="1">
      <c r="A23" s="32"/>
      <c r="D23" s="92"/>
      <c r="H23" s="92"/>
      <c r="L23" s="92"/>
      <c r="P23" s="92"/>
      <c r="T23" s="83"/>
      <c r="U23" s="83"/>
      <c r="V23" s="83"/>
      <c r="Y23" s="172"/>
      <c r="Z23" s="172"/>
      <c r="AA23" s="172"/>
      <c r="AB23" s="172"/>
      <c r="AC23" s="172"/>
      <c r="AD23" s="173"/>
      <c r="AE23" s="173"/>
      <c r="AF23" s="173"/>
      <c r="AG23" s="173"/>
      <c r="AH23" s="173"/>
      <c r="AN23" s="11"/>
      <c r="AO23" s="11"/>
      <c r="AP23" s="11"/>
      <c r="AQ23" s="11"/>
      <c r="AR23" s="11"/>
      <c r="AW23" s="32"/>
      <c r="AX23" s="32"/>
    </row>
    <row r="24" spans="1:50" ht="21" customHeight="1">
      <c r="A24" s="83"/>
      <c r="C24" s="89" t="str">
        <f>VLOOKUP("BT",'[1]Strings'!$A$3:$K$102,'[1]Strings'!$A$1,FALSE)</f>
        <v>BZ</v>
      </c>
      <c r="D24" s="10">
        <f>IF(AND(D4="",D11=""),"",IF(COUNT(D4:D22)&lt;1,"NT",SMALL(D4:D22,1)))</f>
        <v>20.19</v>
      </c>
      <c r="E24" s="178">
        <f>IF(COUNT(D4:D22)&lt;2,"100",SMALL(D4:D22,2))</f>
        <v>20.89</v>
      </c>
      <c r="F24" s="94"/>
      <c r="G24" s="89" t="str">
        <f>VLOOKUP("BT",'[1]Strings'!$A$3:$K$102,'[1]Strings'!$A$1,FALSE)</f>
        <v>BZ</v>
      </c>
      <c r="H24" s="10">
        <f>IF(AND(H4="",H11=""),"",IF(COUNT(H4:H22)&lt;1,"NT",SMALL(H4:H22,1)))</f>
        <v>20.53</v>
      </c>
      <c r="I24" s="178">
        <f>IF(COUNT(H4:H22)&lt;2,"100",SMALL(H4:H22,2))</f>
        <v>40.03</v>
      </c>
      <c r="J24" s="94"/>
      <c r="K24" s="89" t="str">
        <f>VLOOKUP("BT",'[1]Strings'!$A$3:$K$102,'[1]Strings'!$A$1,FALSE)</f>
        <v>BZ</v>
      </c>
      <c r="L24" s="10">
        <f>IF(AND(L4="",L11=""),"",IF(COUNT(L4:L22)&lt;1,"NT",SMALL(L4:L22,1)))</f>
        <v>19.75</v>
      </c>
      <c r="M24" s="178">
        <f>IF(COUNT(L4:L22)&lt;2,"100",SMALL(L4:L22,2))</f>
        <v>20.06</v>
      </c>
      <c r="N24" s="94"/>
      <c r="O24" s="89" t="str">
        <f>VLOOKUP("BT",'[1]Strings'!$A$3:$K$102,'[1]Strings'!$A$1,FALSE)</f>
        <v>BZ</v>
      </c>
      <c r="P24" s="10">
        <f>IF(AND(P4="",P11=""),"",IF(COUNT(P4:P22)&lt;1,"NT",SMALL(P4:P22,1)))</f>
        <v>18.92</v>
      </c>
      <c r="Q24" s="178">
        <f>IF(COUNT(P4:P22)&lt;2,"100",SMALL(P4:P22,2))</f>
        <v>19.73</v>
      </c>
      <c r="R24" s="94"/>
      <c r="T24" s="83"/>
      <c r="U24" s="83"/>
      <c r="V24" s="83"/>
      <c r="Y24" s="172"/>
      <c r="Z24" s="172"/>
      <c r="AA24" s="172"/>
      <c r="AB24" s="172"/>
      <c r="AC24" s="172"/>
      <c r="AD24" s="173"/>
      <c r="AE24" s="173"/>
      <c r="AF24" s="173"/>
      <c r="AG24" s="173"/>
      <c r="AH24" s="173"/>
      <c r="AN24" s="11"/>
      <c r="AO24" s="11"/>
      <c r="AP24" s="11"/>
      <c r="AQ24" s="11"/>
      <c r="AR24" s="11"/>
      <c r="AW24" s="32"/>
      <c r="AX24" s="32"/>
    </row>
    <row r="25" spans="2:48" s="32" customFormat="1" ht="19.5" customHeight="1">
      <c r="B25" s="83"/>
      <c r="C25" s="184" t="str">
        <f>VLOOKUP("Ptn",'[1]Strings'!$A$3:$K$102,'[1]Strings'!$A$1,FALSE)</f>
        <v>Pkt.</v>
      </c>
      <c r="D25" s="188">
        <f>IF(AND(D4="",D11=""),"",SUM(E4:E22))</f>
        <v>8</v>
      </c>
      <c r="E25" s="179"/>
      <c r="F25" s="185"/>
      <c r="G25" s="184" t="str">
        <f>VLOOKUP("Ptn",'[1]Strings'!$A$3:$K$102,'[1]Strings'!$A$1,FALSE)</f>
        <v>Pkt.</v>
      </c>
      <c r="H25" s="188">
        <f>IF(AND(H4="",H11=""),"",SUM(I4:I22))</f>
        <v>5</v>
      </c>
      <c r="I25" s="179"/>
      <c r="J25" s="185"/>
      <c r="K25" s="184" t="str">
        <f>VLOOKUP("Ptn",'[1]Strings'!$A$3:$K$102,'[1]Strings'!$A$1,FALSE)</f>
        <v>Pkt.</v>
      </c>
      <c r="L25" s="188">
        <f>IF(AND(L4="",L11=""),"",SUM(M4:M22))</f>
        <v>18</v>
      </c>
      <c r="M25" s="179"/>
      <c r="N25" s="185"/>
      <c r="O25" s="184" t="str">
        <f>VLOOKUP("Ptn",'[1]Strings'!$A$3:$K$102,'[1]Strings'!$A$1,FALSE)</f>
        <v>Pkt.</v>
      </c>
      <c r="P25" s="188">
        <f>IF(AND(P4="",P11=""),"",SUM(Q4:Q22))</f>
        <v>17</v>
      </c>
      <c r="Q25" s="179"/>
      <c r="R25" s="185"/>
      <c r="S25" s="85"/>
      <c r="T25" s="83"/>
      <c r="U25" s="83"/>
      <c r="V25" s="83"/>
      <c r="W25" s="83"/>
      <c r="X25" s="84"/>
      <c r="Y25" s="172"/>
      <c r="Z25" s="172"/>
      <c r="AA25" s="172"/>
      <c r="AB25" s="172"/>
      <c r="AC25" s="172"/>
      <c r="AD25" s="173"/>
      <c r="AE25" s="173"/>
      <c r="AF25" s="173"/>
      <c r="AG25" s="173"/>
      <c r="AH25" s="173"/>
      <c r="AI25" s="83"/>
      <c r="AJ25" s="83"/>
      <c r="AK25" s="83"/>
      <c r="AL25" s="83"/>
      <c r="AM25" s="83"/>
      <c r="AN25" s="11"/>
      <c r="AO25" s="11"/>
      <c r="AP25" s="11"/>
      <c r="AQ25" s="11"/>
      <c r="AR25" s="11"/>
      <c r="AS25" s="83"/>
      <c r="AT25" s="83"/>
      <c r="AU25" s="83"/>
      <c r="AV25" s="83"/>
    </row>
    <row r="26" spans="1:48" s="32" customFormat="1" ht="19.5" customHeight="1">
      <c r="A26" s="95"/>
      <c r="B26" s="95"/>
      <c r="C26" s="186" t="s">
        <v>78</v>
      </c>
      <c r="D26" s="188">
        <f>IF($A$43="","",VLOOKUP(D46,$B$39:$C$44,2,FALSE))</f>
        <v>3</v>
      </c>
      <c r="E26" s="180"/>
      <c r="F26" s="187"/>
      <c r="G26" s="186" t="s">
        <v>78</v>
      </c>
      <c r="H26" s="188">
        <f>IF($A$43="","",VLOOKUP(H46,$B$39:$C$44,2,FALSE))</f>
        <v>4</v>
      </c>
      <c r="I26" s="180"/>
      <c r="J26" s="187"/>
      <c r="K26" s="186" t="s">
        <v>78</v>
      </c>
      <c r="L26" s="188">
        <f>IF($A$43="","",VLOOKUP(L46,$B$39:$C$44,2,FALSE))</f>
        <v>1</v>
      </c>
      <c r="M26" s="180"/>
      <c r="N26" s="187"/>
      <c r="O26" s="186" t="s">
        <v>78</v>
      </c>
      <c r="P26" s="188">
        <f>IF($A$43="","",VLOOKUP(P46,$B$39:$C$44,2,FALSE))</f>
        <v>2</v>
      </c>
      <c r="Q26" s="180"/>
      <c r="R26" s="187"/>
      <c r="S26" s="85"/>
      <c r="T26" s="83"/>
      <c r="U26" s="83"/>
      <c r="V26" s="83"/>
      <c r="W26" s="83"/>
      <c r="X26" s="84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</row>
    <row r="27" spans="2:48" s="32" customFormat="1" ht="17.25" customHeight="1">
      <c r="B27" s="83"/>
      <c r="C27" s="83"/>
      <c r="D27" s="93"/>
      <c r="E27" s="177"/>
      <c r="F27" s="87"/>
      <c r="G27" s="83"/>
      <c r="H27" s="93"/>
      <c r="I27" s="177"/>
      <c r="J27" s="87"/>
      <c r="K27" s="83"/>
      <c r="L27" s="93"/>
      <c r="M27" s="177"/>
      <c r="N27" s="87"/>
      <c r="O27" s="83"/>
      <c r="P27" s="93"/>
      <c r="Q27" s="177"/>
      <c r="R27" s="87"/>
      <c r="S27" s="85"/>
      <c r="T27" s="83"/>
      <c r="U27" s="83"/>
      <c r="V27" s="83"/>
      <c r="W27" s="83"/>
      <c r="X27" s="84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</row>
    <row r="28" spans="1:48" s="32" customFormat="1" ht="17.25" customHeight="1">
      <c r="A28" s="80"/>
      <c r="B28" s="83"/>
      <c r="C28" s="83"/>
      <c r="D28" s="93"/>
      <c r="E28" s="177"/>
      <c r="F28" s="87"/>
      <c r="G28" s="83"/>
      <c r="H28" s="93"/>
      <c r="I28" s="177"/>
      <c r="J28" s="87"/>
      <c r="K28" s="83"/>
      <c r="L28" s="93"/>
      <c r="M28" s="177"/>
      <c r="N28" s="87"/>
      <c r="O28" s="83"/>
      <c r="P28" s="93"/>
      <c r="Q28" s="177"/>
      <c r="R28" s="87"/>
      <c r="S28" s="85"/>
      <c r="T28" s="83"/>
      <c r="U28" s="83"/>
      <c r="V28" s="83"/>
      <c r="W28" s="83"/>
      <c r="X28" s="84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</row>
    <row r="29" spans="1:48" s="32" customFormat="1" ht="17.25" customHeight="1" hidden="1">
      <c r="A29" s="97"/>
      <c r="B29" s="60"/>
      <c r="C29" s="60"/>
      <c r="D29" s="60" t="str">
        <f>C2</f>
        <v>BayernXpress I</v>
      </c>
      <c r="E29" s="181"/>
      <c r="F29" s="197"/>
      <c r="G29" s="60"/>
      <c r="H29" s="60" t="str">
        <f>G2</f>
        <v>Cool Racers</v>
      </c>
      <c r="I29" s="181"/>
      <c r="J29" s="197"/>
      <c r="K29" s="60"/>
      <c r="L29" s="60" t="str">
        <f>K2</f>
        <v>Flying Stars</v>
      </c>
      <c r="M29" s="181"/>
      <c r="N29" s="197"/>
      <c r="O29" s="60"/>
      <c r="P29" s="60" t="str">
        <f>O2</f>
        <v>Fast'nFurious Flyballteam</v>
      </c>
      <c r="Q29" s="181"/>
      <c r="R29" s="197"/>
      <c r="S29" s="85"/>
      <c r="T29" s="83"/>
      <c r="U29" s="83"/>
      <c r="V29" s="83"/>
      <c r="W29" s="83"/>
      <c r="X29" s="84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</row>
    <row r="30" spans="1:48" s="32" customFormat="1" ht="17.25" customHeight="1" hidden="1">
      <c r="A30" s="198">
        <f>IF(uitslagen!$J$82=0,0,1)</f>
        <v>1</v>
      </c>
      <c r="B30" s="199"/>
      <c r="C30" s="4">
        <v>1</v>
      </c>
      <c r="D30" s="200"/>
      <c r="E30" s="588" t="s">
        <v>70</v>
      </c>
      <c r="F30" s="592"/>
      <c r="G30" s="4">
        <v>1</v>
      </c>
      <c r="H30" s="202">
        <f>IF(OR(H$25&gt;$D$25,$D$25=""),0,$A$32)</f>
        <v>1</v>
      </c>
      <c r="I30" s="203"/>
      <c r="J30" s="201"/>
      <c r="K30" s="4">
        <v>1</v>
      </c>
      <c r="L30" s="202">
        <f>IF(OR(L$25&gt;$D$25,$D$25=""),0,$A$32)</f>
        <v>0</v>
      </c>
      <c r="M30" s="203"/>
      <c r="N30" s="201"/>
      <c r="O30" s="4">
        <v>1</v>
      </c>
      <c r="P30" s="202">
        <f>IF(OR(P$25&gt;$D$25,$D$25=""),0,$A$32)</f>
        <v>0</v>
      </c>
      <c r="Q30" s="203"/>
      <c r="R30" s="201"/>
      <c r="S30" s="85"/>
      <c r="T30" s="83"/>
      <c r="U30" s="83"/>
      <c r="V30" s="83"/>
      <c r="W30" s="83"/>
      <c r="X30" s="84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</row>
    <row r="31" spans="1:50" ht="21" customHeight="1" hidden="1">
      <c r="A31" s="204">
        <f>uitslagen!$J$82</f>
        <v>1</v>
      </c>
      <c r="B31" s="60"/>
      <c r="C31" s="6">
        <v>2</v>
      </c>
      <c r="D31" s="202">
        <f>IF(OR(D$25&gt;$H$25,$H$25=""),0,$A$32)</f>
        <v>0</v>
      </c>
      <c r="E31" s="593"/>
      <c r="F31" s="593"/>
      <c r="G31" s="6">
        <v>2</v>
      </c>
      <c r="H31" s="200"/>
      <c r="I31" s="206"/>
      <c r="J31" s="205"/>
      <c r="K31" s="6">
        <v>2</v>
      </c>
      <c r="L31" s="202">
        <f>IF(OR(L$25&gt;$H$25,$H$25=""),0,$A$32)</f>
        <v>0</v>
      </c>
      <c r="M31" s="206"/>
      <c r="N31" s="205"/>
      <c r="O31" s="6">
        <v>2</v>
      </c>
      <c r="P31" s="202">
        <f>IF(OR(P$25&gt;$H$25,$H$25=""),0,$A$32)</f>
        <v>0</v>
      </c>
      <c r="Q31" s="206"/>
      <c r="R31" s="205"/>
      <c r="S31" s="85"/>
      <c r="T31" s="83"/>
      <c r="U31" s="83"/>
      <c r="V31" s="83"/>
      <c r="Y31" s="172"/>
      <c r="Z31" s="172"/>
      <c r="AA31" s="172"/>
      <c r="AB31" s="172"/>
      <c r="AC31" s="172"/>
      <c r="AD31" s="173"/>
      <c r="AE31" s="173"/>
      <c r="AF31" s="173"/>
      <c r="AG31" s="173"/>
      <c r="AH31" s="173"/>
      <c r="AN31" s="11"/>
      <c r="AO31" s="11"/>
      <c r="AP31" s="11"/>
      <c r="AQ31" s="11"/>
      <c r="AR31" s="11"/>
      <c r="AW31" s="32"/>
      <c r="AX31" s="32"/>
    </row>
    <row r="32" spans="1:48" s="32" customFormat="1" ht="21" customHeight="1" hidden="1">
      <c r="A32" s="207">
        <f>A30*POWER(10,-A31+1)</f>
        <v>1</v>
      </c>
      <c r="B32" s="60"/>
      <c r="C32" s="6">
        <v>3</v>
      </c>
      <c r="D32" s="202">
        <f>IF(OR(D$25&gt;$L$25,$L$25=""),0,$A$32)</f>
        <v>1</v>
      </c>
      <c r="E32" s="593"/>
      <c r="F32" s="593"/>
      <c r="G32" s="6">
        <v>3</v>
      </c>
      <c r="H32" s="202">
        <f>IF(OR(H$25&gt;$L$25,$L$25=""),0,$A$32)</f>
        <v>1</v>
      </c>
      <c r="I32" s="206"/>
      <c r="J32" s="205"/>
      <c r="K32" s="6">
        <v>3</v>
      </c>
      <c r="L32" s="200"/>
      <c r="M32" s="206"/>
      <c r="N32" s="205"/>
      <c r="O32" s="6">
        <v>3</v>
      </c>
      <c r="P32" s="202">
        <f>IF(OR(P$25&gt;$L$25,$L$25=""),0,$A$32)</f>
        <v>1</v>
      </c>
      <c r="Q32" s="206"/>
      <c r="R32" s="205"/>
      <c r="S32" s="85"/>
      <c r="T32" s="83"/>
      <c r="U32" s="83"/>
      <c r="V32" s="83"/>
      <c r="W32" s="83"/>
      <c r="X32" s="84"/>
      <c r="Y32" s="172"/>
      <c r="Z32" s="172"/>
      <c r="AA32" s="172"/>
      <c r="AB32" s="172"/>
      <c r="AC32" s="172"/>
      <c r="AD32" s="173"/>
      <c r="AE32" s="173"/>
      <c r="AF32" s="173"/>
      <c r="AG32" s="173"/>
      <c r="AH32" s="173"/>
      <c r="AI32" s="83"/>
      <c r="AJ32" s="83"/>
      <c r="AK32" s="83"/>
      <c r="AL32" s="83"/>
      <c r="AM32" s="83"/>
      <c r="AN32" s="11"/>
      <c r="AO32" s="11"/>
      <c r="AP32" s="11"/>
      <c r="AQ32" s="11"/>
      <c r="AR32" s="11"/>
      <c r="AS32" s="83"/>
      <c r="AT32" s="83"/>
      <c r="AU32" s="83"/>
      <c r="AV32" s="83"/>
    </row>
    <row r="33" spans="1:50" s="95" customFormat="1" ht="21" customHeight="1" hidden="1">
      <c r="A33" s="208"/>
      <c r="B33" s="60"/>
      <c r="C33" s="6">
        <v>4</v>
      </c>
      <c r="D33" s="202">
        <f>IF(OR(D$25&gt;$P$25,$P$25=""),0,$A$32)</f>
        <v>1</v>
      </c>
      <c r="E33" s="593"/>
      <c r="F33" s="593"/>
      <c r="G33" s="6">
        <v>4</v>
      </c>
      <c r="H33" s="202">
        <f>IF(OR(H$25&gt;$P$25,$P$25=""),0,$A$32)</f>
        <v>1</v>
      </c>
      <c r="I33" s="206"/>
      <c r="J33" s="205"/>
      <c r="K33" s="6">
        <v>4</v>
      </c>
      <c r="L33" s="202">
        <f>IF(OR(L$25&gt;$P$25,$P$25=""),0,$A$32)</f>
        <v>0</v>
      </c>
      <c r="M33" s="206"/>
      <c r="N33" s="205"/>
      <c r="O33" s="6">
        <v>4</v>
      </c>
      <c r="P33" s="200"/>
      <c r="Q33" s="206"/>
      <c r="R33" s="205"/>
      <c r="S33" s="96"/>
      <c r="T33" s="83"/>
      <c r="U33" s="83"/>
      <c r="V33" s="83"/>
      <c r="W33" s="83"/>
      <c r="X33" s="84"/>
      <c r="Y33" s="172"/>
      <c r="Z33" s="172"/>
      <c r="AA33" s="172"/>
      <c r="AB33" s="172"/>
      <c r="AC33" s="172"/>
      <c r="AD33" s="173"/>
      <c r="AE33" s="173"/>
      <c r="AF33" s="173"/>
      <c r="AG33" s="173"/>
      <c r="AH33" s="173"/>
      <c r="AI33" s="83"/>
      <c r="AJ33" s="83"/>
      <c r="AK33" s="83"/>
      <c r="AL33" s="83"/>
      <c r="AM33" s="83"/>
      <c r="AN33" s="11"/>
      <c r="AO33" s="11"/>
      <c r="AP33" s="11"/>
      <c r="AQ33" s="11"/>
      <c r="AR33" s="11"/>
      <c r="AS33" s="83"/>
      <c r="AT33" s="83"/>
      <c r="AU33" s="83"/>
      <c r="AV33" s="83"/>
      <c r="AW33" s="32"/>
      <c r="AX33" s="32"/>
    </row>
    <row r="34" spans="1:48" s="32" customFormat="1" ht="21" customHeight="1" hidden="1">
      <c r="A34" s="209">
        <f>B34*POWER(10,-uitslagen!$J$83+1)</f>
        <v>0</v>
      </c>
      <c r="B34" s="210">
        <f>IF(uitslagen!$J$83=0,0,1)</f>
        <v>0</v>
      </c>
      <c r="C34" s="211"/>
      <c r="D34" s="212">
        <f>SUM($AT$5:$AT$7)</f>
        <v>0</v>
      </c>
      <c r="E34" s="213"/>
      <c r="F34" s="214"/>
      <c r="G34" s="211"/>
      <c r="H34" s="212">
        <f>SUM($AT$8:$AT$10)</f>
        <v>0</v>
      </c>
      <c r="I34" s="213"/>
      <c r="J34" s="214"/>
      <c r="K34" s="211"/>
      <c r="L34" s="212">
        <f>SUM($AT$11:$AT$13)</f>
        <v>0</v>
      </c>
      <c r="M34" s="213"/>
      <c r="N34" s="214"/>
      <c r="O34" s="211"/>
      <c r="P34" s="212">
        <f>SUM($AT$14:$AT$16)</f>
        <v>0</v>
      </c>
      <c r="Q34" s="213"/>
      <c r="R34" s="214"/>
      <c r="S34" s="85"/>
      <c r="T34" s="173"/>
      <c r="U34" s="173"/>
      <c r="V34" s="173"/>
      <c r="W34" s="83"/>
      <c r="X34" s="84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</row>
    <row r="35" spans="1:50" s="60" customFormat="1" ht="21" customHeight="1" hidden="1">
      <c r="A35" s="204">
        <f>IF(uitslagen!$J$84=0,0,1)</f>
        <v>1</v>
      </c>
      <c r="B35" s="215"/>
      <c r="C35" s="6">
        <v>1</v>
      </c>
      <c r="D35" s="200">
        <f>IF(D$24&gt;$D$24,$A$37,0)</f>
        <v>0</v>
      </c>
      <c r="E35" s="594" t="s">
        <v>72</v>
      </c>
      <c r="F35" s="595"/>
      <c r="G35" s="6">
        <v>1</v>
      </c>
      <c r="H35" s="202">
        <f>IF(H$24&gt;$D$24,$A$37,0)</f>
        <v>0.1</v>
      </c>
      <c r="I35" s="181"/>
      <c r="J35" s="197"/>
      <c r="K35" s="6">
        <v>1</v>
      </c>
      <c r="L35" s="202">
        <f>IF(L$24&gt;$D$24,$A$37,0)</f>
        <v>0</v>
      </c>
      <c r="M35" s="181"/>
      <c r="N35" s="197"/>
      <c r="O35" s="6">
        <v>1</v>
      </c>
      <c r="P35" s="202">
        <f>IF(P$24&gt;$D$24,$A$37,0)</f>
        <v>0</v>
      </c>
      <c r="Q35" s="181"/>
      <c r="R35" s="197"/>
      <c r="S35" s="83"/>
      <c r="T35" s="173"/>
      <c r="U35" s="173"/>
      <c r="V35" s="173"/>
      <c r="W35" s="83"/>
      <c r="X35" s="84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32"/>
      <c r="AX35" s="32"/>
    </row>
    <row r="36" spans="1:50" s="97" customFormat="1" ht="21" customHeight="1" hidden="1">
      <c r="A36" s="204">
        <f>uitslagen!$J$84</f>
        <v>2</v>
      </c>
      <c r="B36" s="60"/>
      <c r="C36" s="6">
        <v>2</v>
      </c>
      <c r="D36" s="202">
        <f>IF(D$24&gt;$H$24,$A$37,0)</f>
        <v>0</v>
      </c>
      <c r="E36" s="593"/>
      <c r="F36" s="593"/>
      <c r="G36" s="6">
        <v>2</v>
      </c>
      <c r="H36" s="200">
        <f>IF(H$24&gt;$H$24,$A$37,0)</f>
        <v>0</v>
      </c>
      <c r="I36" s="181"/>
      <c r="J36" s="197"/>
      <c r="K36" s="6">
        <v>2</v>
      </c>
      <c r="L36" s="202">
        <f>IF(L$24&gt;$H$24,$A$37,0)</f>
        <v>0</v>
      </c>
      <c r="M36" s="181"/>
      <c r="N36" s="197"/>
      <c r="O36" s="6">
        <v>2</v>
      </c>
      <c r="P36" s="202">
        <f>IF(P$24&gt;$H$24,$A$37,0)</f>
        <v>0</v>
      </c>
      <c r="Q36" s="181"/>
      <c r="R36" s="197"/>
      <c r="S36" s="82"/>
      <c r="T36" s="173"/>
      <c r="U36" s="173"/>
      <c r="V36" s="173"/>
      <c r="W36" s="83"/>
      <c r="X36" s="84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32"/>
      <c r="AX36" s="32"/>
    </row>
    <row r="37" spans="1:50" s="97" customFormat="1" ht="21" customHeight="1" hidden="1">
      <c r="A37" s="207">
        <f>A35*POWER(10,-A36+1)</f>
        <v>0.1</v>
      </c>
      <c r="B37" s="60"/>
      <c r="C37" s="6">
        <v>3</v>
      </c>
      <c r="D37" s="202">
        <f>IF(D$24&gt;$L$24,$A$37,0)</f>
        <v>0.1</v>
      </c>
      <c r="E37" s="593"/>
      <c r="F37" s="593"/>
      <c r="G37" s="6">
        <v>3</v>
      </c>
      <c r="H37" s="202">
        <f>IF(H$24&gt;$L$24,$A$37,0)</f>
        <v>0.1</v>
      </c>
      <c r="I37" s="181"/>
      <c r="J37" s="197"/>
      <c r="K37" s="6">
        <v>3</v>
      </c>
      <c r="L37" s="200">
        <f>IF(L$24&gt;$L$24,$A$37,0)</f>
        <v>0</v>
      </c>
      <c r="M37" s="181"/>
      <c r="N37" s="197"/>
      <c r="O37" s="6">
        <v>3</v>
      </c>
      <c r="P37" s="202">
        <f>IF(P$24&gt;$L$24,$A$37,0)</f>
        <v>0</v>
      </c>
      <c r="Q37" s="181"/>
      <c r="R37" s="197"/>
      <c r="S37" s="82"/>
      <c r="T37" s="173"/>
      <c r="U37" s="173"/>
      <c r="V37" s="173"/>
      <c r="W37" s="83"/>
      <c r="X37" s="84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32"/>
      <c r="AX37" s="32"/>
    </row>
    <row r="38" spans="1:50" s="60" customFormat="1" ht="21" customHeight="1" hidden="1">
      <c r="A38" s="208"/>
      <c r="C38" s="6">
        <v>4</v>
      </c>
      <c r="D38" s="202">
        <f>IF(D$24&gt;$P$24,$A$37,0)</f>
        <v>0.1</v>
      </c>
      <c r="E38" s="593"/>
      <c r="F38" s="593"/>
      <c r="G38" s="6">
        <v>4</v>
      </c>
      <c r="H38" s="202">
        <f>IF(H$24&gt;$P$24,$A$37,0)</f>
        <v>0.1</v>
      </c>
      <c r="I38" s="181"/>
      <c r="J38" s="197"/>
      <c r="K38" s="6">
        <v>4</v>
      </c>
      <c r="L38" s="202">
        <f>IF(L$24&gt;$P$24,$A$37,0)</f>
        <v>0.1</v>
      </c>
      <c r="M38" s="181"/>
      <c r="N38" s="197"/>
      <c r="O38" s="6">
        <v>4</v>
      </c>
      <c r="P38" s="200">
        <f>IF(P$24&gt;$P$24,$A$37,0)</f>
        <v>0</v>
      </c>
      <c r="Q38" s="181"/>
      <c r="R38" s="197"/>
      <c r="S38" s="83"/>
      <c r="T38" s="173"/>
      <c r="U38" s="173"/>
      <c r="V38" s="173"/>
      <c r="W38" s="83"/>
      <c r="X38" s="84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32"/>
      <c r="AX38" s="32"/>
    </row>
    <row r="39" spans="1:50" s="60" customFormat="1" ht="21" customHeight="1" hidden="1">
      <c r="A39" s="198">
        <f>IF(uitslagen!$J$85=0,0,1)</f>
        <v>1</v>
      </c>
      <c r="B39" s="3">
        <f>SMALL($D$46:$R$46,C35)</f>
        <v>0.11</v>
      </c>
      <c r="C39" s="4">
        <v>1</v>
      </c>
      <c r="D39" s="218">
        <f>IF(E$24&gt;$E$24,$A$41,0)</f>
        <v>0</v>
      </c>
      <c r="E39" s="588" t="s">
        <v>73</v>
      </c>
      <c r="F39" s="589"/>
      <c r="G39" s="4">
        <v>1</v>
      </c>
      <c r="H39" s="219">
        <f>IF(I$24&gt;$E$24,$A$41,0)</f>
        <v>0.01</v>
      </c>
      <c r="I39" s="182"/>
      <c r="J39" s="220"/>
      <c r="K39" s="4">
        <v>1</v>
      </c>
      <c r="L39" s="219">
        <f>IF(M$24&gt;$E$24,$A$41,0)</f>
        <v>0</v>
      </c>
      <c r="M39" s="182"/>
      <c r="N39" s="220"/>
      <c r="O39" s="4">
        <v>1</v>
      </c>
      <c r="P39" s="219">
        <f>IF(Q$24&gt;$E$24,$A$41,0)</f>
        <v>0</v>
      </c>
      <c r="Q39" s="182"/>
      <c r="R39" s="220"/>
      <c r="S39" s="83"/>
      <c r="T39" s="173"/>
      <c r="U39" s="173"/>
      <c r="V39" s="173"/>
      <c r="W39" s="83"/>
      <c r="X39" s="84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32"/>
      <c r="AX39" s="32"/>
    </row>
    <row r="40" spans="1:50" s="60" customFormat="1" ht="21" customHeight="1" hidden="1">
      <c r="A40" s="204">
        <f>uitslagen!$J$85</f>
        <v>3</v>
      </c>
      <c r="B40" s="5">
        <f>SMALL($D$46:$R$46,C36)</f>
        <v>1</v>
      </c>
      <c r="C40" s="6">
        <v>2</v>
      </c>
      <c r="D40" s="202">
        <f>IF(E$24&gt;$I$24,$A$41,0)</f>
        <v>0</v>
      </c>
      <c r="E40" s="590"/>
      <c r="F40" s="590"/>
      <c r="G40" s="6">
        <v>2</v>
      </c>
      <c r="H40" s="200">
        <f>IF(I$24&gt;$I$24,$A$41,0)</f>
        <v>0</v>
      </c>
      <c r="I40" s="181"/>
      <c r="J40" s="197"/>
      <c r="K40" s="6">
        <v>2</v>
      </c>
      <c r="L40" s="202">
        <f>IF(M$24&gt;$I$24,$A$41,0)</f>
        <v>0</v>
      </c>
      <c r="M40" s="181"/>
      <c r="N40" s="197"/>
      <c r="O40" s="6">
        <v>2</v>
      </c>
      <c r="P40" s="202">
        <f>IF(Q$24&gt;$I$24,$A$41,0)</f>
        <v>0</v>
      </c>
      <c r="Q40" s="181"/>
      <c r="R40" s="197"/>
      <c r="S40" s="83"/>
      <c r="T40" s="173"/>
      <c r="U40" s="173"/>
      <c r="V40" s="173"/>
      <c r="W40" s="83"/>
      <c r="X40" s="84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0"/>
      <c r="AX40" s="80"/>
    </row>
    <row r="41" spans="1:50" s="97" customFormat="1" ht="21" customHeight="1" hidden="1">
      <c r="A41" s="207">
        <f>A39*POWER(10,-A40+1)</f>
        <v>0.01</v>
      </c>
      <c r="B41" s="5">
        <f>SMALL($D$46:$R$46,C37)</f>
        <v>2.2199999999999998</v>
      </c>
      <c r="C41" s="6">
        <v>3</v>
      </c>
      <c r="D41" s="202">
        <f>IF(E$24&gt;$M$24,$A$41,0)</f>
        <v>0.01</v>
      </c>
      <c r="E41" s="590"/>
      <c r="F41" s="590"/>
      <c r="G41" s="6">
        <v>3</v>
      </c>
      <c r="H41" s="202">
        <f>IF(I$24&gt;$M$24,$A$41,0)</f>
        <v>0.01</v>
      </c>
      <c r="I41" s="181"/>
      <c r="J41" s="197"/>
      <c r="K41" s="6">
        <v>3</v>
      </c>
      <c r="L41" s="200">
        <f>IF(M$24&gt;$M$24,$A$41,0)</f>
        <v>0</v>
      </c>
      <c r="M41" s="181"/>
      <c r="N41" s="197"/>
      <c r="O41" s="6">
        <v>3</v>
      </c>
      <c r="P41" s="202">
        <f>IF(Q$24&gt;$M$24,$A$41,0)</f>
        <v>0</v>
      </c>
      <c r="Q41" s="181"/>
      <c r="R41" s="197"/>
      <c r="S41" s="82"/>
      <c r="T41" s="173"/>
      <c r="U41" s="173"/>
      <c r="V41" s="173"/>
      <c r="W41" s="83"/>
      <c r="X41" s="84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0"/>
      <c r="AX41" s="80"/>
    </row>
    <row r="42" spans="2:50" s="97" customFormat="1" ht="21" customHeight="1" hidden="1" thickBot="1">
      <c r="B42" s="5">
        <f>SMALL($D$46:$R$46,C38)</f>
        <v>3.3299999999999996</v>
      </c>
      <c r="C42" s="6">
        <v>4</v>
      </c>
      <c r="D42" s="202">
        <f>IF(E$24&gt;$Q$24,$A$41,0)</f>
        <v>0.01</v>
      </c>
      <c r="E42" s="590"/>
      <c r="F42" s="590"/>
      <c r="G42" s="6">
        <v>4</v>
      </c>
      <c r="H42" s="202">
        <f>IF(I$24&gt;$Q$24,$A$41,0)</f>
        <v>0.01</v>
      </c>
      <c r="I42" s="181"/>
      <c r="J42" s="197"/>
      <c r="K42" s="6">
        <v>4</v>
      </c>
      <c r="L42" s="202">
        <f>IF(M$24&gt;$Q$24,$A$41,0)</f>
        <v>0.01</v>
      </c>
      <c r="M42" s="181"/>
      <c r="N42" s="197"/>
      <c r="O42" s="6">
        <v>4</v>
      </c>
      <c r="P42" s="200">
        <f>IF(Q$24&gt;$Q$24,$A$41,0)</f>
        <v>0</v>
      </c>
      <c r="Q42" s="181"/>
      <c r="R42" s="197"/>
      <c r="S42" s="82"/>
      <c r="T42" s="173"/>
      <c r="U42" s="173"/>
      <c r="V42" s="173"/>
      <c r="W42" s="83"/>
      <c r="X42" s="84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0"/>
      <c r="AX42" s="80"/>
    </row>
    <row r="43" spans="1:50" s="60" customFormat="1" ht="21" customHeight="1" hidden="1" thickBot="1">
      <c r="A43" s="164">
        <f>IF(AND(COUNTIF($D$18:$R$18,"x")&lt;2,COUNTIF($D$18:$R$18,"")&lt;10),1,"")</f>
        <v>1</v>
      </c>
      <c r="B43" s="5"/>
      <c r="C43" s="6"/>
      <c r="D43" s="202"/>
      <c r="E43" s="590"/>
      <c r="F43" s="590"/>
      <c r="G43" s="6"/>
      <c r="H43" s="202"/>
      <c r="I43" s="181"/>
      <c r="J43" s="197"/>
      <c r="K43" s="6"/>
      <c r="L43" s="202"/>
      <c r="M43" s="181"/>
      <c r="N43" s="197"/>
      <c r="O43" s="6"/>
      <c r="P43" s="202"/>
      <c r="Q43" s="181"/>
      <c r="R43" s="197"/>
      <c r="S43" s="83"/>
      <c r="T43" s="173"/>
      <c r="U43" s="173"/>
      <c r="V43" s="173"/>
      <c r="W43" s="83"/>
      <c r="X43" s="84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0"/>
      <c r="AX43" s="80"/>
    </row>
    <row r="44" spans="1:50" s="97" customFormat="1" ht="21" customHeight="1" hidden="1">
      <c r="A44" s="422">
        <f>COUNTIF($D$18:$R$18,"")</f>
        <v>4</v>
      </c>
      <c r="B44" s="7"/>
      <c r="C44" s="8"/>
      <c r="D44" s="216"/>
      <c r="E44" s="591"/>
      <c r="F44" s="591"/>
      <c r="G44" s="8"/>
      <c r="H44" s="216"/>
      <c r="I44" s="183"/>
      <c r="J44" s="217"/>
      <c r="K44" s="8"/>
      <c r="L44" s="216"/>
      <c r="M44" s="183"/>
      <c r="N44" s="217"/>
      <c r="O44" s="8"/>
      <c r="P44" s="216"/>
      <c r="Q44" s="183"/>
      <c r="R44" s="217"/>
      <c r="S44" s="82"/>
      <c r="T44" s="173"/>
      <c r="U44" s="173"/>
      <c r="V44" s="173"/>
      <c r="W44" s="83"/>
      <c r="X44" s="84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0"/>
      <c r="AX44" s="80"/>
    </row>
    <row r="45" spans="1:50" s="97" customFormat="1" ht="21" customHeight="1" hidden="1">
      <c r="A45" s="221" t="s">
        <v>45</v>
      </c>
      <c r="B45" s="222"/>
      <c r="C45" s="222"/>
      <c r="D45" s="223">
        <f>IF(AND(D25="",OR($D$25&lt;&gt;"",$H$24&lt;&gt;"",$L$25&lt;&gt;"",$P$25&lt;&gt;"")),4,0)</f>
        <v>0</v>
      </c>
      <c r="E45" s="224"/>
      <c r="F45" s="225"/>
      <c r="G45" s="222"/>
      <c r="H45" s="223">
        <f>IF(AND(H25="",OR($D$25&lt;&gt;"",$H$24&lt;&gt;"",$L$25&lt;&gt;"",$P$25&lt;&gt;"")),4,0)</f>
        <v>0</v>
      </c>
      <c r="I45" s="224"/>
      <c r="J45" s="225"/>
      <c r="K45" s="222"/>
      <c r="L45" s="223">
        <f>IF(AND(L25="",OR($D$25&lt;&gt;"",$H$24&lt;&gt;"",$L$25&lt;&gt;"",$P$25&lt;&gt;"")),4,0)</f>
        <v>0</v>
      </c>
      <c r="M45" s="224"/>
      <c r="N45" s="225"/>
      <c r="O45" s="222"/>
      <c r="P45" s="223">
        <f>IF(AND(P25="",OR($D$25&lt;&gt;"",$H$24&lt;&gt;"",$L$25&lt;&gt;"",$P$25&lt;&gt;"")),4,0)</f>
        <v>0</v>
      </c>
      <c r="Q45" s="224"/>
      <c r="R45" s="225"/>
      <c r="S45" s="82"/>
      <c r="T45" s="173"/>
      <c r="U45" s="173"/>
      <c r="V45" s="173"/>
      <c r="W45" s="83"/>
      <c r="X45" s="84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0"/>
      <c r="AX45" s="80"/>
    </row>
    <row r="46" spans="1:50" s="60" customFormat="1" ht="21" customHeight="1" hidden="1">
      <c r="A46" s="221" t="s">
        <v>18</v>
      </c>
      <c r="B46" s="222"/>
      <c r="C46" s="222"/>
      <c r="D46" s="222">
        <f>SUM(D30:D45)</f>
        <v>2.2199999999999998</v>
      </c>
      <c r="E46" s="224"/>
      <c r="F46" s="225"/>
      <c r="G46" s="222"/>
      <c r="H46" s="222">
        <f>SUM(H30:H45)</f>
        <v>3.3299999999999996</v>
      </c>
      <c r="I46" s="224"/>
      <c r="J46" s="225"/>
      <c r="K46" s="222"/>
      <c r="L46" s="222">
        <f>SUM(L30:L45)</f>
        <v>0.11</v>
      </c>
      <c r="M46" s="224"/>
      <c r="N46" s="225"/>
      <c r="O46" s="222"/>
      <c r="P46" s="222">
        <f>SUM(P30:P45)</f>
        <v>1</v>
      </c>
      <c r="Q46" s="224"/>
      <c r="R46" s="225"/>
      <c r="S46" s="83"/>
      <c r="T46" s="173"/>
      <c r="U46" s="173"/>
      <c r="V46" s="173"/>
      <c r="W46" s="83"/>
      <c r="X46" s="84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0"/>
      <c r="AX46" s="80"/>
    </row>
    <row r="47" spans="1:50" s="60" customFormat="1" ht="21" customHeight="1">
      <c r="A47" s="80"/>
      <c r="B47" s="83"/>
      <c r="C47" s="83"/>
      <c r="D47" s="93"/>
      <c r="E47" s="177"/>
      <c r="F47" s="87"/>
      <c r="G47" s="83"/>
      <c r="H47" s="93"/>
      <c r="I47" s="177"/>
      <c r="J47" s="87"/>
      <c r="K47" s="83"/>
      <c r="L47" s="93"/>
      <c r="M47" s="177"/>
      <c r="N47" s="87"/>
      <c r="O47" s="83"/>
      <c r="P47" s="93"/>
      <c r="Q47" s="177"/>
      <c r="R47" s="87"/>
      <c r="S47" s="83"/>
      <c r="T47" s="173"/>
      <c r="U47" s="173"/>
      <c r="V47" s="173"/>
      <c r="W47" s="83"/>
      <c r="X47" s="84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0"/>
      <c r="AX47" s="80"/>
    </row>
    <row r="48" spans="1:50" s="60" customFormat="1" ht="21" customHeight="1">
      <c r="A48" s="80"/>
      <c r="B48" s="83"/>
      <c r="C48" s="83"/>
      <c r="D48" s="93"/>
      <c r="E48" s="177"/>
      <c r="F48" s="87"/>
      <c r="G48" s="83"/>
      <c r="H48" s="93"/>
      <c r="I48" s="177"/>
      <c r="J48" s="87"/>
      <c r="K48" s="83"/>
      <c r="L48" s="93"/>
      <c r="M48" s="177"/>
      <c r="N48" s="87"/>
      <c r="O48" s="83"/>
      <c r="P48" s="93"/>
      <c r="Q48" s="177"/>
      <c r="R48" s="87"/>
      <c r="S48" s="83"/>
      <c r="T48" s="173"/>
      <c r="U48" s="173"/>
      <c r="V48" s="173"/>
      <c r="W48" s="83"/>
      <c r="X48" s="84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0"/>
      <c r="AX48" s="80"/>
    </row>
    <row r="49" spans="1:50" s="60" customFormat="1" ht="21" customHeight="1">
      <c r="A49" s="80"/>
      <c r="B49" s="83"/>
      <c r="C49" s="83"/>
      <c r="D49" s="93"/>
      <c r="E49" s="177"/>
      <c r="F49" s="87"/>
      <c r="G49" s="83"/>
      <c r="H49" s="93"/>
      <c r="I49" s="177"/>
      <c r="J49" s="87"/>
      <c r="K49" s="83"/>
      <c r="L49" s="93"/>
      <c r="M49" s="177"/>
      <c r="N49" s="87"/>
      <c r="O49" s="83"/>
      <c r="P49" s="93"/>
      <c r="Q49" s="177"/>
      <c r="R49" s="87"/>
      <c r="S49" s="83"/>
      <c r="T49" s="173"/>
      <c r="U49" s="173"/>
      <c r="V49" s="173"/>
      <c r="W49" s="83"/>
      <c r="X49" s="84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0"/>
      <c r="AX49" s="80"/>
    </row>
    <row r="50" spans="1:50" s="60" customFormat="1" ht="21" customHeight="1">
      <c r="A50" s="80"/>
      <c r="B50" s="83"/>
      <c r="C50" s="83"/>
      <c r="D50" s="93"/>
      <c r="E50" s="177"/>
      <c r="F50" s="87"/>
      <c r="G50" s="83"/>
      <c r="H50" s="93"/>
      <c r="I50" s="177"/>
      <c r="J50" s="87"/>
      <c r="K50" s="83"/>
      <c r="L50" s="93"/>
      <c r="M50" s="177"/>
      <c r="N50" s="87"/>
      <c r="O50" s="83"/>
      <c r="P50" s="93"/>
      <c r="Q50" s="177"/>
      <c r="R50" s="87"/>
      <c r="S50" s="83"/>
      <c r="T50" s="173"/>
      <c r="U50" s="173"/>
      <c r="V50" s="173"/>
      <c r="W50" s="83"/>
      <c r="X50" s="84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0"/>
      <c r="AX50" s="80"/>
    </row>
    <row r="51" spans="1:50" s="97" customFormat="1" ht="21" customHeight="1">
      <c r="A51" s="80"/>
      <c r="B51" s="83"/>
      <c r="C51" s="83"/>
      <c r="D51" s="93"/>
      <c r="E51" s="177"/>
      <c r="F51" s="87"/>
      <c r="G51" s="83"/>
      <c r="H51" s="93"/>
      <c r="I51" s="177"/>
      <c r="J51" s="87"/>
      <c r="K51" s="83"/>
      <c r="L51" s="93"/>
      <c r="M51" s="177"/>
      <c r="N51" s="87"/>
      <c r="O51" s="83"/>
      <c r="P51" s="93"/>
      <c r="Q51" s="177"/>
      <c r="R51" s="87"/>
      <c r="S51" s="82"/>
      <c r="T51" s="173"/>
      <c r="U51" s="173"/>
      <c r="V51" s="173"/>
      <c r="W51" s="83"/>
      <c r="X51" s="84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0"/>
      <c r="AX51" s="80"/>
    </row>
    <row r="52" spans="1:50" s="97" customFormat="1" ht="21" customHeight="1">
      <c r="A52" s="80"/>
      <c r="B52" s="83"/>
      <c r="C52" s="83"/>
      <c r="D52" s="93"/>
      <c r="E52" s="177"/>
      <c r="F52" s="87"/>
      <c r="G52" s="83"/>
      <c r="H52" s="93"/>
      <c r="I52" s="177"/>
      <c r="J52" s="87"/>
      <c r="K52" s="83"/>
      <c r="L52" s="93"/>
      <c r="M52" s="177"/>
      <c r="N52" s="87"/>
      <c r="O52" s="83"/>
      <c r="P52" s="93"/>
      <c r="Q52" s="177"/>
      <c r="R52" s="87"/>
      <c r="S52" s="82"/>
      <c r="T52" s="173"/>
      <c r="U52" s="173"/>
      <c r="V52" s="173"/>
      <c r="W52" s="83"/>
      <c r="X52" s="84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0"/>
      <c r="AX52" s="80"/>
    </row>
    <row r="53" spans="1:50" s="97" customFormat="1" ht="21" customHeight="1">
      <c r="A53" s="80"/>
      <c r="B53" s="83"/>
      <c r="C53" s="83"/>
      <c r="D53" s="93"/>
      <c r="E53" s="177"/>
      <c r="F53" s="87"/>
      <c r="G53" s="83"/>
      <c r="H53" s="93"/>
      <c r="I53" s="177"/>
      <c r="J53" s="87"/>
      <c r="K53" s="83"/>
      <c r="L53" s="93"/>
      <c r="M53" s="177"/>
      <c r="N53" s="87"/>
      <c r="O53" s="83"/>
      <c r="P53" s="93"/>
      <c r="Q53" s="177"/>
      <c r="R53" s="87"/>
      <c r="S53" s="82"/>
      <c r="T53" s="173"/>
      <c r="U53" s="173"/>
      <c r="V53" s="173"/>
      <c r="W53" s="83"/>
      <c r="X53" s="84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0"/>
      <c r="AX53" s="80"/>
    </row>
  </sheetData>
  <sheetProtection sheet="1" objects="1" scenarios="1"/>
  <mergeCells count="36">
    <mergeCell ref="P1:Q1"/>
    <mergeCell ref="AW1:AW2"/>
    <mergeCell ref="AX1:AX2"/>
    <mergeCell ref="AU1:AU2"/>
    <mergeCell ref="AV1:AV2"/>
    <mergeCell ref="AQ1:AQ2"/>
    <mergeCell ref="AR1:AR2"/>
    <mergeCell ref="AS1:AS2"/>
    <mergeCell ref="AT1:AT2"/>
    <mergeCell ref="AM1:AM2"/>
    <mergeCell ref="AN1:AN2"/>
    <mergeCell ref="AO1:AO2"/>
    <mergeCell ref="AP1:AP2"/>
    <mergeCell ref="AI1:AI2"/>
    <mergeCell ref="AJ1:AJ2"/>
    <mergeCell ref="AK1:AK2"/>
    <mergeCell ref="AL1:AL2"/>
    <mergeCell ref="AC1:AC2"/>
    <mergeCell ref="AD1:AD2"/>
    <mergeCell ref="AE1:AE2"/>
    <mergeCell ref="AF1:AF2"/>
    <mergeCell ref="AG1:AG2"/>
    <mergeCell ref="AH1:AH2"/>
    <mergeCell ref="W1:W2"/>
    <mergeCell ref="X1:X2"/>
    <mergeCell ref="Y1:Y2"/>
    <mergeCell ref="Z1:Z2"/>
    <mergeCell ref="AA1:AA2"/>
    <mergeCell ref="AB1:AB2"/>
    <mergeCell ref="E39:F44"/>
    <mergeCell ref="E30:F33"/>
    <mergeCell ref="E35:F38"/>
    <mergeCell ref="O2:Q2"/>
    <mergeCell ref="C2:E2"/>
    <mergeCell ref="G2:I2"/>
    <mergeCell ref="K2:M2"/>
  </mergeCells>
  <conditionalFormatting sqref="N18:N23 O1:Q23 N1:N2 N4:N10 N12:N16 J4:J9 K1:M23 J18:J23 J11:J16 J1:J2 F18:F23 G1:I23 F1:F2 F4:F9 F11:F16 C1:E23 B18:B23 B11:B16 B1:B2 B4:B9">
    <cfRule type="expression" priority="1" dxfId="1" stopIfTrue="1">
      <formula>OR(B1="Blauw",C1="Blauw",D1="Blauw")</formula>
    </cfRule>
    <cfRule type="expression" priority="2" dxfId="0" stopIfTrue="1">
      <formula>OR(B1="Rood",C1="Rood",D1="Rood")</formula>
    </cfRule>
  </conditionalFormatting>
  <printOptions horizontalCentered="1" verticalCentered="1"/>
  <pageMargins left="0.1968503937007874" right="0.1968503937007874" top="0.3937007874015748" bottom="0.5905511811023623" header="0.3937007874015748" footer="0.3937007874015748"/>
  <pageSetup fitToHeight="1" fitToWidth="1" horizontalDpi="300" verticalDpi="300" orientation="landscape" paperSize="9" r:id="rId1"/>
  <headerFooter alignWithMargins="0">
    <oddHeader xml:space="preserve">&amp;L&amp;"Arial,Vet"&amp;16RR 4&amp;R&amp;"Arial,Vet"&amp;16      </oddHeader>
    <oddFooter>&amp;C&amp;"Arial,Cursief"&amp;11v.z.w.   Belgische  Flyball  Belge   a.s.b.l.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L36"/>
  <sheetViews>
    <sheetView showGridLines="0" zoomScale="57" zoomScaleNormal="57" zoomScalePageLayoutView="0" workbookViewId="0" topLeftCell="A1">
      <selection activeCell="K5" sqref="K5"/>
    </sheetView>
  </sheetViews>
  <sheetFormatPr defaultColWidth="9.140625" defaultRowHeight="18.75" customHeight="1"/>
  <cols>
    <col min="1" max="1" width="5.7109375" style="447" customWidth="1"/>
    <col min="2" max="2" width="31.7109375" style="447" customWidth="1"/>
    <col min="3" max="3" width="5.7109375" style="447" customWidth="1"/>
    <col min="4" max="4" width="31.7109375" style="447" customWidth="1"/>
    <col min="5" max="5" width="5.7109375" style="447" customWidth="1"/>
    <col min="6" max="6" width="31.7109375" style="447" customWidth="1"/>
    <col min="7" max="7" width="5.7109375" style="447" customWidth="1"/>
    <col min="8" max="8" width="7.140625" style="447" customWidth="1"/>
    <col min="9" max="9" width="29.7109375" style="447" customWidth="1"/>
    <col min="10" max="10" width="5.7109375" style="85" customWidth="1"/>
    <col min="11" max="11" width="33.421875" style="85" customWidth="1"/>
    <col min="12" max="12" width="0" style="85" hidden="1" customWidth="1"/>
    <col min="13" max="13" width="9.7109375" style="291" hidden="1" customWidth="1"/>
    <col min="14" max="14" width="7.8515625" style="323" hidden="1" customWidth="1"/>
    <col min="15" max="15" width="6.7109375" style="2" hidden="1" customWidth="1"/>
    <col min="16" max="16" width="5.7109375" style="98" hidden="1" customWidth="1"/>
    <col min="17" max="17" width="8.28125" style="98" hidden="1" customWidth="1"/>
    <col min="18" max="18" width="27.8515625" style="2" hidden="1" customWidth="1"/>
    <col min="19" max="19" width="10.7109375" style="100" hidden="1" customWidth="1"/>
    <col min="20" max="24" width="8.421875" style="9" hidden="1" customWidth="1"/>
    <col min="25" max="39" width="5.00390625" style="2" hidden="1" customWidth="1"/>
    <col min="40" max="40" width="4.28125" style="2" hidden="1" customWidth="1"/>
    <col min="41" max="41" width="8.421875" style="9" hidden="1" customWidth="1"/>
    <col min="42" max="43" width="5.00390625" style="2" hidden="1" customWidth="1"/>
    <col min="44" max="45" width="10.7109375" style="2" hidden="1" customWidth="1"/>
    <col min="46" max="47" width="7.8515625" style="2" hidden="1" customWidth="1"/>
    <col min="48" max="53" width="0" style="98" hidden="1" customWidth="1"/>
    <col min="54" max="54" width="34.00390625" style="98" hidden="1" customWidth="1"/>
    <col min="55" max="59" width="8.00390625" style="302" hidden="1" customWidth="1"/>
    <col min="60" max="64" width="4.8515625" style="98" hidden="1" customWidth="1"/>
    <col min="65" max="65" width="0" style="85" hidden="1" customWidth="1"/>
    <col min="66" max="16384" width="9.140625" style="85" customWidth="1"/>
  </cols>
  <sheetData>
    <row r="1" spans="1:64" s="190" customFormat="1" ht="18.75" customHeight="1" thickBot="1" thickTop="1">
      <c r="A1" s="626" t="s">
        <v>4</v>
      </c>
      <c r="B1" s="641" t="str">
        <f>VLOOKUP(C2,$O$10:$AQ$23,4,FALSE)</f>
        <v>Flying Stars</v>
      </c>
      <c r="C1" s="641"/>
      <c r="D1" s="282"/>
      <c r="E1" s="282"/>
      <c r="F1" s="282"/>
      <c r="G1" s="282"/>
      <c r="H1" s="282"/>
      <c r="I1" s="282"/>
      <c r="J1" s="414"/>
      <c r="K1" s="640" t="str">
        <f>VLOOKUP("Divisie  ",'[1]Strings'!$A$3:$K$102,'[1]Strings'!$A$1,FALSE)&amp;'BayernXpress I'!$X$2</f>
        <v>Division  1</v>
      </c>
      <c r="N1" s="644" t="s">
        <v>16</v>
      </c>
      <c r="O1" s="628" t="s">
        <v>55</v>
      </c>
      <c r="P1" s="304"/>
      <c r="Q1" s="304"/>
      <c r="R1" s="628" t="s">
        <v>21</v>
      </c>
      <c r="S1" s="642" t="s">
        <v>33</v>
      </c>
      <c r="T1" s="636" t="s">
        <v>22</v>
      </c>
      <c r="U1" s="628" t="s">
        <v>23</v>
      </c>
      <c r="V1" s="628" t="s">
        <v>24</v>
      </c>
      <c r="W1" s="628" t="s">
        <v>25</v>
      </c>
      <c r="X1" s="632" t="s">
        <v>26</v>
      </c>
      <c r="Y1" s="636" t="s">
        <v>34</v>
      </c>
      <c r="Z1" s="628" t="s">
        <v>35</v>
      </c>
      <c r="AA1" s="628" t="s">
        <v>36</v>
      </c>
      <c r="AB1" s="628" t="s">
        <v>37</v>
      </c>
      <c r="AC1" s="632" t="s">
        <v>38</v>
      </c>
      <c r="AD1" s="636" t="s">
        <v>29</v>
      </c>
      <c r="AE1" s="628" t="s">
        <v>27</v>
      </c>
      <c r="AF1" s="628" t="s">
        <v>28</v>
      </c>
      <c r="AG1" s="628" t="s">
        <v>30</v>
      </c>
      <c r="AH1" s="632" t="s">
        <v>31</v>
      </c>
      <c r="AI1" s="636" t="s">
        <v>39</v>
      </c>
      <c r="AJ1" s="628" t="s">
        <v>40</v>
      </c>
      <c r="AK1" s="628" t="s">
        <v>41</v>
      </c>
      <c r="AL1" s="628" t="s">
        <v>42</v>
      </c>
      <c r="AM1" s="632" t="s">
        <v>43</v>
      </c>
      <c r="AN1" s="632" t="s">
        <v>50</v>
      </c>
      <c r="AO1" s="638" t="s">
        <v>51</v>
      </c>
      <c r="AP1" s="628" t="s">
        <v>52</v>
      </c>
      <c r="AQ1" s="628" t="s">
        <v>53</v>
      </c>
      <c r="AR1" s="634" t="s">
        <v>32</v>
      </c>
      <c r="AS1" s="628" t="s">
        <v>47</v>
      </c>
      <c r="AT1" s="632" t="s">
        <v>16</v>
      </c>
      <c r="AU1" s="305"/>
      <c r="AV1" s="631" t="s">
        <v>48</v>
      </c>
      <c r="AW1" s="631" t="s">
        <v>49</v>
      </c>
      <c r="AX1" s="631" t="s">
        <v>49</v>
      </c>
      <c r="AY1" s="631" t="s">
        <v>54</v>
      </c>
      <c r="AZ1" s="631" t="s">
        <v>46</v>
      </c>
      <c r="BA1" s="99"/>
      <c r="BB1" s="292">
        <v>1</v>
      </c>
      <c r="BC1" s="293">
        <v>2</v>
      </c>
      <c r="BD1" s="293">
        <v>3</v>
      </c>
      <c r="BE1" s="293">
        <v>4</v>
      </c>
      <c r="BF1" s="293">
        <v>5</v>
      </c>
      <c r="BG1" s="293">
        <v>6</v>
      </c>
      <c r="BH1" s="99">
        <v>7</v>
      </c>
      <c r="BI1" s="99">
        <v>8</v>
      </c>
      <c r="BJ1" s="99">
        <v>9</v>
      </c>
      <c r="BK1" s="99">
        <v>10</v>
      </c>
      <c r="BL1" s="99">
        <v>11</v>
      </c>
    </row>
    <row r="2" spans="1:64" s="190" customFormat="1" ht="18.75" customHeight="1" thickTop="1">
      <c r="A2" s="626"/>
      <c r="B2" s="279">
        <f>VLOOKUP(C2,$O$10:$AQ$23,27,FALSE)</f>
        <v>19.94</v>
      </c>
      <c r="C2" s="442" t="s">
        <v>4</v>
      </c>
      <c r="D2" s="415"/>
      <c r="E2" s="282"/>
      <c r="F2" s="282"/>
      <c r="G2" s="282"/>
      <c r="H2" s="282"/>
      <c r="I2" s="282"/>
      <c r="J2" s="416"/>
      <c r="K2" s="640"/>
      <c r="N2" s="645"/>
      <c r="O2" s="629"/>
      <c r="P2" s="304"/>
      <c r="Q2" s="304"/>
      <c r="R2" s="629"/>
      <c r="S2" s="643"/>
      <c r="T2" s="637"/>
      <c r="U2" s="629"/>
      <c r="V2" s="629"/>
      <c r="W2" s="629"/>
      <c r="X2" s="633"/>
      <c r="Y2" s="637"/>
      <c r="Z2" s="629"/>
      <c r="AA2" s="629"/>
      <c r="AB2" s="629"/>
      <c r="AC2" s="633"/>
      <c r="AD2" s="637"/>
      <c r="AE2" s="629"/>
      <c r="AF2" s="629"/>
      <c r="AG2" s="629"/>
      <c r="AH2" s="633"/>
      <c r="AI2" s="637"/>
      <c r="AJ2" s="629"/>
      <c r="AK2" s="629"/>
      <c r="AL2" s="629"/>
      <c r="AM2" s="633"/>
      <c r="AN2" s="633"/>
      <c r="AO2" s="639"/>
      <c r="AP2" s="629"/>
      <c r="AQ2" s="629"/>
      <c r="AR2" s="635"/>
      <c r="AS2" s="629"/>
      <c r="AT2" s="633"/>
      <c r="AU2" s="305"/>
      <c r="AV2" s="631"/>
      <c r="AW2" s="631"/>
      <c r="AX2" s="631"/>
      <c r="AY2" s="631"/>
      <c r="AZ2" s="631"/>
      <c r="BA2" s="99"/>
      <c r="BB2" s="294" t="str">
        <f>'BayernXpress I'!$C$3&amp;"-"&amp;'BayernXpress I'!$E$43</f>
        <v>BayernXpress I-2</v>
      </c>
      <c r="BC2" s="295" t="str">
        <f>IF('BayernXpress I'!$V$43="","",'BayernXpress I'!$V$43)</f>
        <v>NT</v>
      </c>
      <c r="BD2" s="295" t="str">
        <f>IF('BayernXpress I'!$V$44="","",'BayernXpress I'!$V$44)</f>
        <v>NT</v>
      </c>
      <c r="BE2" s="295" t="str">
        <f>IF('BayernXpress I'!$V$45="","",'BayernXpress I'!$V$45)</f>
        <v>NT</v>
      </c>
      <c r="BF2" s="295">
        <f>IF('BayernXpress I'!$V$46="","",'BayernXpress I'!$V$46)</f>
      </c>
      <c r="BG2" s="295">
        <f>IF('BayernXpress I'!$V$47="","",'BayernXpress I'!$V$47)</f>
      </c>
      <c r="BH2" s="296" t="str">
        <f>IF('BayernXpress I'!$Z$43="","",'BayernXpress I'!$Z$43)</f>
        <v>L</v>
      </c>
      <c r="BI2" s="296" t="str">
        <f>IF('BayernXpress I'!$Z$44="","",'BayernXpress I'!$Z$44)</f>
        <v>L</v>
      </c>
      <c r="BJ2" s="296" t="str">
        <f>IF('BayernXpress I'!$Z$45="","",'BayernXpress I'!$Z$45)</f>
        <v>L</v>
      </c>
      <c r="BK2" s="296">
        <f>IF('BayernXpress I'!$Z$46="","",'BayernXpress I'!$Z$46)</f>
      </c>
      <c r="BL2" s="297">
        <f>IF('BayernXpress I'!$Z$47="","",'BayernXpress I'!$Z$47)</f>
      </c>
    </row>
    <row r="3" spans="1:64" s="190" customFormat="1" ht="18.75" customHeight="1">
      <c r="A3" s="282"/>
      <c r="B3" s="282"/>
      <c r="C3" s="281">
        <f>VLOOKUP(C2,$O$10:$AQ$23,26,FALSE)</f>
      </c>
      <c r="D3" s="415"/>
      <c r="E3" s="282"/>
      <c r="F3" s="282"/>
      <c r="G3" s="282"/>
      <c r="H3" s="282"/>
      <c r="I3" s="282"/>
      <c r="J3" s="84"/>
      <c r="K3" s="84"/>
      <c r="N3" s="645"/>
      <c r="O3" s="629"/>
      <c r="P3" s="304"/>
      <c r="Q3" s="304"/>
      <c r="R3" s="629"/>
      <c r="S3" s="643"/>
      <c r="T3" s="637"/>
      <c r="U3" s="629"/>
      <c r="V3" s="629"/>
      <c r="W3" s="629"/>
      <c r="X3" s="633"/>
      <c r="Y3" s="637"/>
      <c r="Z3" s="629"/>
      <c r="AA3" s="629"/>
      <c r="AB3" s="629"/>
      <c r="AC3" s="633"/>
      <c r="AD3" s="637"/>
      <c r="AE3" s="629"/>
      <c r="AF3" s="629"/>
      <c r="AG3" s="629"/>
      <c r="AH3" s="633"/>
      <c r="AI3" s="637"/>
      <c r="AJ3" s="629"/>
      <c r="AK3" s="629"/>
      <c r="AL3" s="629"/>
      <c r="AM3" s="633"/>
      <c r="AN3" s="633"/>
      <c r="AO3" s="639"/>
      <c r="AP3" s="629"/>
      <c r="AQ3" s="629"/>
      <c r="AR3" s="635"/>
      <c r="AS3" s="629"/>
      <c r="AT3" s="633"/>
      <c r="AU3" s="305"/>
      <c r="AV3" s="631"/>
      <c r="AW3" s="631"/>
      <c r="AX3" s="631"/>
      <c r="AY3" s="631"/>
      <c r="AZ3" s="631"/>
      <c r="BA3" s="99"/>
      <c r="BB3" s="298" t="str">
        <f>'BayernXpress I'!$C$3&amp;"-"&amp;'BayernXpress I'!$E$50</f>
        <v>BayernXpress I-4</v>
      </c>
      <c r="BC3" s="299">
        <f>IF('BayernXpress I'!$V$50="","",'BayernXpress I'!$V$50)</f>
        <v>19.98</v>
      </c>
      <c r="BD3" s="299" t="str">
        <f>IF('BayernXpress I'!$V$51="","",'BayernXpress I'!$V$51)</f>
        <v>NT</v>
      </c>
      <c r="BE3" s="299" t="str">
        <f>IF('BayernXpress I'!$V$52="","",'BayernXpress I'!$V$52)</f>
        <v>NT</v>
      </c>
      <c r="BF3" s="299">
        <f>IF('BayernXpress I'!$V$53="","",'BayernXpress I'!$V$53)</f>
        <v>20.06</v>
      </c>
      <c r="BG3" s="299">
        <f>IF('BayernXpress I'!$V$54="","",'BayernXpress I'!$V$54)</f>
        <v>20.14</v>
      </c>
      <c r="BH3" s="300" t="str">
        <f>IF('BayernXpress I'!$Z$50="","",'BayernXpress I'!$Z$50)</f>
        <v>W</v>
      </c>
      <c r="BI3" s="300" t="str">
        <f>IF('BayernXpress I'!$Z$51="","",'BayernXpress I'!$Z$51)</f>
        <v>L</v>
      </c>
      <c r="BJ3" s="300" t="str">
        <f>IF('BayernXpress I'!$Z$52="","",'BayernXpress I'!$Z$52)</f>
        <v>L</v>
      </c>
      <c r="BK3" s="300" t="str">
        <f>IF('BayernXpress I'!$Z$53="","",'BayernXpress I'!$Z$53)</f>
        <v>W</v>
      </c>
      <c r="BL3" s="301" t="str">
        <f>IF('BayernXpress I'!$Z$54="","",'BayernXpress I'!$Z$54)</f>
        <v>W</v>
      </c>
    </row>
    <row r="4" spans="1:64" s="190" customFormat="1" ht="18.75" customHeight="1" thickBot="1">
      <c r="A4" s="282"/>
      <c r="B4" s="619" t="s">
        <v>9</v>
      </c>
      <c r="C4" s="417">
        <f>VLOOKUP(C2,$O$10:$AQ$23,28,FALSE)</f>
        <v>1</v>
      </c>
      <c r="D4" s="630" t="str">
        <f>VLOOKUP(E5,$O$10:$AQ$23,4,FALSE)</f>
        <v>Cool Racers</v>
      </c>
      <c r="E4" s="623"/>
      <c r="F4" s="282"/>
      <c r="G4" s="282"/>
      <c r="H4" s="282"/>
      <c r="I4" s="282"/>
      <c r="J4" s="282">
        <v>1</v>
      </c>
      <c r="K4" s="283" t="str">
        <f>Q22</f>
        <v>Cool Racers</v>
      </c>
      <c r="N4" s="645"/>
      <c r="O4" s="629"/>
      <c r="P4" s="304"/>
      <c r="Q4" s="304"/>
      <c r="R4" s="629"/>
      <c r="S4" s="643"/>
      <c r="T4" s="637"/>
      <c r="U4" s="629"/>
      <c r="V4" s="629"/>
      <c r="W4" s="629"/>
      <c r="X4" s="633"/>
      <c r="Y4" s="637"/>
      <c r="Z4" s="629"/>
      <c r="AA4" s="629"/>
      <c r="AB4" s="629"/>
      <c r="AC4" s="633"/>
      <c r="AD4" s="637"/>
      <c r="AE4" s="629"/>
      <c r="AF4" s="629"/>
      <c r="AG4" s="629"/>
      <c r="AH4" s="633"/>
      <c r="AI4" s="637"/>
      <c r="AJ4" s="629"/>
      <c r="AK4" s="629"/>
      <c r="AL4" s="629"/>
      <c r="AM4" s="633"/>
      <c r="AN4" s="633"/>
      <c r="AO4" s="639"/>
      <c r="AP4" s="629"/>
      <c r="AQ4" s="629"/>
      <c r="AR4" s="635"/>
      <c r="AS4" s="629"/>
      <c r="AT4" s="633"/>
      <c r="AU4" s="305"/>
      <c r="AV4" s="631"/>
      <c r="AW4" s="631"/>
      <c r="AX4" s="631"/>
      <c r="AY4" s="631"/>
      <c r="AZ4" s="631"/>
      <c r="BA4" s="99"/>
      <c r="BB4" s="298" t="str">
        <f>'BayernXpress I'!$C$3&amp;"-"&amp;'BayernXpress I'!$E$57</f>
        <v>BayernXpress I-5</v>
      </c>
      <c r="BC4" s="299">
        <f>IF('BayernXpress I'!$V$57="","",'BayernXpress I'!$V$57)</f>
        <v>20.03</v>
      </c>
      <c r="BD4" s="299">
        <f>IF('BayernXpress I'!$V$58="","",'BayernXpress I'!$V$58)</f>
        <v>20.81</v>
      </c>
      <c r="BE4" s="299" t="str">
        <f>IF('BayernXpress I'!$V$59="","",'BayernXpress I'!$V$59)</f>
        <v>NT</v>
      </c>
      <c r="BF4" s="299">
        <f>IF('BayernXpress I'!$V$60="","",'BayernXpress I'!$V$60)</f>
        <v>26.89</v>
      </c>
      <c r="BG4" s="299">
        <f>IF('BayernXpress I'!$V$61="","",'BayernXpress I'!$V$61)</f>
        <v>20.73</v>
      </c>
      <c r="BH4" s="300" t="str">
        <f>IF('BayernXpress I'!$Z$57="","",'BayernXpress I'!$Z$57)</f>
        <v>W</v>
      </c>
      <c r="BI4" s="300" t="str">
        <f>IF('BayernXpress I'!$Z$58="","",'BayernXpress I'!$Z$58)</f>
        <v>L</v>
      </c>
      <c r="BJ4" s="300" t="str">
        <f>IF('BayernXpress I'!$Z$59="","",'BayernXpress I'!$Z$59)</f>
        <v>L</v>
      </c>
      <c r="BK4" s="300" t="str">
        <f>IF('BayernXpress I'!$Z$60="","",'BayernXpress I'!$Z$60)</f>
        <v>W</v>
      </c>
      <c r="BL4" s="301" t="str">
        <f>IF('BayernXpress I'!$Z$61="","",'BayernXpress I'!$Z$61)</f>
        <v>W</v>
      </c>
    </row>
    <row r="5" spans="1:64" s="190" customFormat="1" ht="18.75" customHeight="1" thickTop="1">
      <c r="A5" s="282"/>
      <c r="B5" s="619"/>
      <c r="C5" s="418">
        <f>VLOOKUP(C8,$O$10:$AQ$23,28,FALSE)</f>
        <v>3</v>
      </c>
      <c r="D5" s="279">
        <f>VLOOKUP(E5,$O$10:$AQ$23,27,FALSE)</f>
        <v>18.28</v>
      </c>
      <c r="E5" s="442" t="s">
        <v>87</v>
      </c>
      <c r="F5" s="415"/>
      <c r="G5" s="282"/>
      <c r="H5" s="282"/>
      <c r="I5" s="282"/>
      <c r="J5" s="282">
        <v>2</v>
      </c>
      <c r="K5" s="287" t="str">
        <f>Q23</f>
        <v>BayernXpress I</v>
      </c>
      <c r="N5" s="645"/>
      <c r="O5" s="629"/>
      <c r="P5" s="304"/>
      <c r="Q5" s="304"/>
      <c r="R5" s="629"/>
      <c r="S5" s="643"/>
      <c r="T5" s="637"/>
      <c r="U5" s="629"/>
      <c r="V5" s="629"/>
      <c r="W5" s="629"/>
      <c r="X5" s="633"/>
      <c r="Y5" s="637"/>
      <c r="Z5" s="629"/>
      <c r="AA5" s="629"/>
      <c r="AB5" s="629"/>
      <c r="AC5" s="633"/>
      <c r="AD5" s="637"/>
      <c r="AE5" s="629"/>
      <c r="AF5" s="629"/>
      <c r="AG5" s="629"/>
      <c r="AH5" s="633"/>
      <c r="AI5" s="637"/>
      <c r="AJ5" s="629"/>
      <c r="AK5" s="629"/>
      <c r="AL5" s="629"/>
      <c r="AM5" s="633"/>
      <c r="AN5" s="633"/>
      <c r="AO5" s="639"/>
      <c r="AP5" s="629"/>
      <c r="AQ5" s="629"/>
      <c r="AR5" s="635"/>
      <c r="AS5" s="629"/>
      <c r="AT5" s="633"/>
      <c r="AU5" s="305"/>
      <c r="AV5" s="631"/>
      <c r="AW5" s="631"/>
      <c r="AX5" s="631"/>
      <c r="AY5" s="631"/>
      <c r="AZ5" s="631"/>
      <c r="BA5" s="99"/>
      <c r="BB5" s="298" t="str">
        <f>'BayernXpress I'!$C$3&amp;"-"&amp;'BayernXpress I'!$E$64</f>
        <v>BayernXpress I-6</v>
      </c>
      <c r="BC5" s="299">
        <f>IF('BayernXpress I'!$V$64="","",'BayernXpress I'!$V$64)</f>
        <v>20.18</v>
      </c>
      <c r="BD5" s="299">
        <f>IF('BayernXpress I'!$V$65="","",'BayernXpress I'!$V$65)</f>
        <v>19.65</v>
      </c>
      <c r="BE5" s="299">
        <f>IF('BayernXpress I'!$V$66="","",'BayernXpress I'!$V$66)</f>
        <v>20.1</v>
      </c>
      <c r="BF5" s="299">
        <f>IF('BayernXpress I'!$V$67="","",'BayernXpress I'!$V$67)</f>
      </c>
      <c r="BG5" s="299">
        <f>IF('BayernXpress I'!$V$68="","",'BayernXpress I'!$V$68)</f>
      </c>
      <c r="BH5" s="300" t="str">
        <f>IF('BayernXpress I'!$Z$64="","",'BayernXpress I'!$Z$64)</f>
        <v>L</v>
      </c>
      <c r="BI5" s="300" t="str">
        <f>IF('BayernXpress I'!$Z$65="","",'BayernXpress I'!$Z$65)</f>
        <v>L</v>
      </c>
      <c r="BJ5" s="300" t="str">
        <f>IF('BayernXpress I'!$Z$66="","",'BayernXpress I'!$Z$66)</f>
        <v>L</v>
      </c>
      <c r="BK5" s="300">
        <f>IF('BayernXpress I'!$Z$67="","",'BayernXpress I'!$Z$67)</f>
      </c>
      <c r="BL5" s="301">
        <f>IF('BayernXpress I'!$Z$68="","",'BayernXpress I'!$Z$68)</f>
      </c>
    </row>
    <row r="6" spans="1:64" s="190" customFormat="1" ht="18.75" customHeight="1" thickBot="1">
      <c r="A6" s="282"/>
      <c r="B6" s="282"/>
      <c r="C6" s="286">
        <f>VLOOKUP(C8,$O$10:$AQ$23,26,FALSE)</f>
      </c>
      <c r="D6" s="282"/>
      <c r="E6" s="444"/>
      <c r="F6" s="415"/>
      <c r="G6" s="282"/>
      <c r="H6" s="282"/>
      <c r="I6" s="282"/>
      <c r="J6" s="282">
        <v>3</v>
      </c>
      <c r="K6" s="283" t="str">
        <f>Q19</f>
        <v>Fast'nFurious Flyballteam</v>
      </c>
      <c r="N6" s="645"/>
      <c r="O6" s="629"/>
      <c r="P6" s="304"/>
      <c r="Q6" s="304"/>
      <c r="R6" s="629"/>
      <c r="S6" s="643"/>
      <c r="T6" s="637"/>
      <c r="U6" s="629"/>
      <c r="V6" s="629"/>
      <c r="W6" s="629"/>
      <c r="X6" s="633"/>
      <c r="Y6" s="637"/>
      <c r="Z6" s="629"/>
      <c r="AA6" s="629"/>
      <c r="AB6" s="629"/>
      <c r="AC6" s="633"/>
      <c r="AD6" s="637"/>
      <c r="AE6" s="629"/>
      <c r="AF6" s="629"/>
      <c r="AG6" s="629"/>
      <c r="AH6" s="633"/>
      <c r="AI6" s="637"/>
      <c r="AJ6" s="629"/>
      <c r="AK6" s="629"/>
      <c r="AL6" s="629"/>
      <c r="AM6" s="633"/>
      <c r="AN6" s="633"/>
      <c r="AO6" s="639"/>
      <c r="AP6" s="629"/>
      <c r="AQ6" s="629"/>
      <c r="AR6" s="635"/>
      <c r="AS6" s="629"/>
      <c r="AT6" s="633"/>
      <c r="AU6" s="305"/>
      <c r="AV6" s="631"/>
      <c r="AW6" s="631"/>
      <c r="AX6" s="631"/>
      <c r="AY6" s="631"/>
      <c r="AZ6" s="631"/>
      <c r="BA6" s="99"/>
      <c r="BB6" s="298" t="str">
        <f>'BayernXpress I'!$C$3&amp;"-"&amp;'BayernXpress I'!$E$71</f>
        <v>BayernXpress I-</v>
      </c>
      <c r="BC6" s="299">
        <f>IF('BayernXpress I'!$V$71="","",'BayernXpress I'!$V$71)</f>
      </c>
      <c r="BD6" s="299">
        <f>IF('BayernXpress I'!$V$72="","",'BayernXpress I'!$V$72)</f>
      </c>
      <c r="BE6" s="299">
        <f>IF('BayernXpress I'!$V$73="","",'BayernXpress I'!$V$73)</f>
      </c>
      <c r="BF6" s="299">
        <f>IF('BayernXpress I'!$V$74="","",'BayernXpress I'!$V$74)</f>
      </c>
      <c r="BG6" s="299">
        <f>IF('BayernXpress I'!$V$75="","",'BayernXpress I'!$V$75)</f>
      </c>
      <c r="BH6" s="300">
        <f>IF('BayernXpress I'!$Z$71="","",'BayernXpress I'!$Z$71)</f>
      </c>
      <c r="BI6" s="300">
        <f>IF('BayernXpress I'!$Z$72="","",'BayernXpress I'!$Z$72)</f>
      </c>
      <c r="BJ6" s="300">
        <f>IF('BayernXpress I'!$Z$73="","",'BayernXpress I'!$Z$73)</f>
      </c>
      <c r="BK6" s="300">
        <f>IF('BayernXpress I'!$Z$74="","",'BayernXpress I'!$Z$74)</f>
      </c>
      <c r="BL6" s="301">
        <f>IF('BayernXpress I'!$Z$75="","",'BayernXpress I'!$Z$75)</f>
      </c>
    </row>
    <row r="7" spans="1:64" s="190" customFormat="1" ht="18.75" customHeight="1" thickBot="1">
      <c r="A7" s="626" t="s">
        <v>3</v>
      </c>
      <c r="B7" s="627" t="str">
        <f>VLOOKUP(C8,$O$10:$AQ$23,4,FALSE)</f>
        <v>Cool Racers</v>
      </c>
      <c r="C7" s="621"/>
      <c r="D7" s="282"/>
      <c r="E7" s="444"/>
      <c r="F7" s="415"/>
      <c r="G7" s="282"/>
      <c r="H7" s="282"/>
      <c r="I7" s="282"/>
      <c r="J7" s="282">
        <v>4</v>
      </c>
      <c r="K7" s="287" t="str">
        <f>Q17</f>
        <v>Flying Stars</v>
      </c>
      <c r="N7" s="645"/>
      <c r="O7" s="629"/>
      <c r="P7" s="304"/>
      <c r="Q7" s="304"/>
      <c r="R7" s="629"/>
      <c r="S7" s="643"/>
      <c r="T7" s="637"/>
      <c r="U7" s="629"/>
      <c r="V7" s="629"/>
      <c r="W7" s="629"/>
      <c r="X7" s="633"/>
      <c r="Y7" s="637"/>
      <c r="Z7" s="629"/>
      <c r="AA7" s="629"/>
      <c r="AB7" s="629"/>
      <c r="AC7" s="633"/>
      <c r="AD7" s="637"/>
      <c r="AE7" s="629"/>
      <c r="AF7" s="629"/>
      <c r="AG7" s="629"/>
      <c r="AH7" s="633"/>
      <c r="AI7" s="637"/>
      <c r="AJ7" s="629"/>
      <c r="AK7" s="629"/>
      <c r="AL7" s="629"/>
      <c r="AM7" s="633"/>
      <c r="AN7" s="633"/>
      <c r="AO7" s="639"/>
      <c r="AP7" s="629"/>
      <c r="AQ7" s="629"/>
      <c r="AR7" s="635"/>
      <c r="AS7" s="629"/>
      <c r="AT7" s="633"/>
      <c r="AU7" s="305"/>
      <c r="AV7" s="631"/>
      <c r="AW7" s="631"/>
      <c r="AX7" s="631"/>
      <c r="AY7" s="631"/>
      <c r="AZ7" s="631"/>
      <c r="BA7" s="99"/>
      <c r="BB7" s="294" t="str">
        <f>'Cool Racers'!$C$3&amp;"-"&amp;'Cool Racers'!$E$43</f>
        <v>Cool Racers-1</v>
      </c>
      <c r="BC7" s="295" t="str">
        <f>IF('Cool Racers'!$V$43="","",'Cool Racers'!$V$43)</f>
        <v>NT</v>
      </c>
      <c r="BD7" s="295">
        <f>IF('Cool Racers'!$V$44="","",'Cool Racers'!$V$44)</f>
        <v>18.33</v>
      </c>
      <c r="BE7" s="295">
        <f>IF('Cool Racers'!$V$45="","",'Cool Racers'!$V$45)</f>
        <v>19.02</v>
      </c>
      <c r="BF7" s="295">
        <f>IF('Cool Racers'!$V$46="","",'Cool Racers'!$V$46)</f>
        <v>18.48</v>
      </c>
      <c r="BG7" s="295">
        <f>IF('Cool Racers'!$V$47="","",'Cool Racers'!$V$47)</f>
      </c>
      <c r="BH7" s="296" t="str">
        <f>IF('Cool Racers'!$Z$43="","",'Cool Racers'!$Z$43)</f>
        <v>L</v>
      </c>
      <c r="BI7" s="296" t="str">
        <f>IF('Cool Racers'!$Z$44="","",'Cool Racers'!$Z$44)</f>
        <v>W</v>
      </c>
      <c r="BJ7" s="296" t="str">
        <f>IF('Cool Racers'!$Z$45="","",'Cool Racers'!$Z$45)</f>
        <v>W</v>
      </c>
      <c r="BK7" s="296" t="str">
        <f>IF('Cool Racers'!$Z$46="","",'Cool Racers'!$Z$46)</f>
        <v>W</v>
      </c>
      <c r="BL7" s="297">
        <f>IF('Cool Racers'!$Z$47="","",'Cool Racers'!$Z$47)</f>
      </c>
    </row>
    <row r="8" spans="1:64" s="190" customFormat="1" ht="18.75" customHeight="1" thickTop="1">
      <c r="A8" s="626"/>
      <c r="B8" s="279">
        <f>VLOOKUP(C8,$O$10:$AQ$23,27,FALSE)</f>
        <v>18.33</v>
      </c>
      <c r="C8" s="443" t="s">
        <v>3</v>
      </c>
      <c r="D8" s="282"/>
      <c r="E8" s="444" t="s">
        <v>87</v>
      </c>
      <c r="F8" s="415"/>
      <c r="G8" s="282"/>
      <c r="H8" s="282"/>
      <c r="I8" s="282"/>
      <c r="J8" s="282"/>
      <c r="K8" s="283"/>
      <c r="N8" s="645"/>
      <c r="O8" s="629"/>
      <c r="P8" s="304"/>
      <c r="Q8" s="304"/>
      <c r="R8" s="629"/>
      <c r="S8" s="643"/>
      <c r="T8" s="637"/>
      <c r="U8" s="629"/>
      <c r="V8" s="629"/>
      <c r="W8" s="629"/>
      <c r="X8" s="633"/>
      <c r="Y8" s="637"/>
      <c r="Z8" s="629"/>
      <c r="AA8" s="629"/>
      <c r="AB8" s="629"/>
      <c r="AC8" s="633"/>
      <c r="AD8" s="637"/>
      <c r="AE8" s="629"/>
      <c r="AF8" s="629"/>
      <c r="AG8" s="629"/>
      <c r="AH8" s="633"/>
      <c r="AI8" s="637"/>
      <c r="AJ8" s="629"/>
      <c r="AK8" s="629"/>
      <c r="AL8" s="629"/>
      <c r="AM8" s="633"/>
      <c r="AN8" s="633" t="s">
        <v>20</v>
      </c>
      <c r="AO8" s="639"/>
      <c r="AP8" s="629"/>
      <c r="AQ8" s="629"/>
      <c r="AR8" s="635"/>
      <c r="AS8" s="629"/>
      <c r="AT8" s="633"/>
      <c r="AU8" s="305"/>
      <c r="AV8" s="631"/>
      <c r="AW8" s="631"/>
      <c r="AX8" s="631"/>
      <c r="AY8" s="631"/>
      <c r="AZ8" s="631"/>
      <c r="BA8" s="99"/>
      <c r="BB8" s="298" t="str">
        <f>'Cool Racers'!$C$3&amp;"-"&amp;'Cool Racers'!$E$50</f>
        <v>Cool Racers-3</v>
      </c>
      <c r="BC8" s="299" t="str">
        <f>IF('Cool Racers'!$V$50="","",'Cool Racers'!$V$50)</f>
        <v>NT</v>
      </c>
      <c r="BD8" s="299">
        <f>IF('Cool Racers'!$V$51="","",'Cool Racers'!$V$51)</f>
        <v>18.28</v>
      </c>
      <c r="BE8" s="299" t="str">
        <f>IF('Cool Racers'!$V$52="","",'Cool Racers'!$V$52)</f>
        <v>NT</v>
      </c>
      <c r="BF8" s="299">
        <f>IF('Cool Racers'!$V$53="","",'Cool Racers'!$V$53)</f>
        <v>18.54</v>
      </c>
      <c r="BG8" s="299">
        <f>IF('Cool Racers'!$V$54="","",'Cool Racers'!$V$54)</f>
        <v>19.25</v>
      </c>
      <c r="BH8" s="300" t="str">
        <f>IF('Cool Racers'!$Z$50="","",'Cool Racers'!$Z$50)</f>
        <v>L</v>
      </c>
      <c r="BI8" s="300" t="str">
        <f>IF('Cool Racers'!$Z$51="","",'Cool Racers'!$Z$51)</f>
        <v>W</v>
      </c>
      <c r="BJ8" s="300" t="str">
        <f>IF('Cool Racers'!$Z$52="","",'Cool Racers'!$Z$52)</f>
        <v>L</v>
      </c>
      <c r="BK8" s="300" t="str">
        <f>IF('Cool Racers'!$Z$53="","",'Cool Racers'!$Z$53)</f>
        <v>W</v>
      </c>
      <c r="BL8" s="301" t="str">
        <f>IF('Cool Racers'!$Z$54="","",'Cool Racers'!$Z$54)</f>
        <v>W</v>
      </c>
    </row>
    <row r="9" spans="1:64" s="190" customFormat="1" ht="18.75" customHeight="1">
      <c r="A9" s="282"/>
      <c r="B9" s="282"/>
      <c r="C9" s="282"/>
      <c r="D9" s="282"/>
      <c r="E9" s="281">
        <f>VLOOKUP(E8,$O$10:$AQ$23,26,FALSE)</f>
      </c>
      <c r="F9" s="415"/>
      <c r="G9" s="282"/>
      <c r="H9" s="282"/>
      <c r="I9" s="282"/>
      <c r="J9" s="280"/>
      <c r="K9" s="432"/>
      <c r="M9" s="331"/>
      <c r="N9" s="332">
        <v>1</v>
      </c>
      <c r="O9" s="333">
        <v>2</v>
      </c>
      <c r="P9" s="334"/>
      <c r="Q9" s="334"/>
      <c r="R9" s="333">
        <v>3</v>
      </c>
      <c r="S9" s="335">
        <v>1</v>
      </c>
      <c r="T9" s="336">
        <v>2</v>
      </c>
      <c r="U9" s="333">
        <v>3</v>
      </c>
      <c r="V9" s="333">
        <v>4</v>
      </c>
      <c r="W9" s="333">
        <v>5</v>
      </c>
      <c r="X9" s="337">
        <v>6</v>
      </c>
      <c r="Y9" s="336">
        <v>7</v>
      </c>
      <c r="Z9" s="333">
        <v>8</v>
      </c>
      <c r="AA9" s="333">
        <v>9</v>
      </c>
      <c r="AB9" s="333">
        <v>10</v>
      </c>
      <c r="AC9" s="337">
        <v>11</v>
      </c>
      <c r="AD9" s="336">
        <v>12</v>
      </c>
      <c r="AE9" s="333">
        <v>13</v>
      </c>
      <c r="AF9" s="333">
        <v>14</v>
      </c>
      <c r="AG9" s="333">
        <v>15</v>
      </c>
      <c r="AH9" s="337">
        <v>16</v>
      </c>
      <c r="AI9" s="336">
        <v>17</v>
      </c>
      <c r="AJ9" s="333">
        <v>18</v>
      </c>
      <c r="AK9" s="333">
        <v>19</v>
      </c>
      <c r="AL9" s="333">
        <v>20</v>
      </c>
      <c r="AM9" s="337">
        <v>21</v>
      </c>
      <c r="AN9" s="337">
        <v>22</v>
      </c>
      <c r="AO9" s="338">
        <v>23</v>
      </c>
      <c r="AP9" s="333">
        <v>24</v>
      </c>
      <c r="AQ9" s="339">
        <v>25</v>
      </c>
      <c r="AR9" s="339">
        <v>26</v>
      </c>
      <c r="AS9" s="339">
        <v>27</v>
      </c>
      <c r="AT9" s="337"/>
      <c r="AU9" s="278"/>
      <c r="AV9" s="330"/>
      <c r="AW9" s="330">
        <v>1</v>
      </c>
      <c r="AX9" s="330">
        <v>1</v>
      </c>
      <c r="AY9" s="330">
        <v>2</v>
      </c>
      <c r="AZ9" s="330">
        <v>3</v>
      </c>
      <c r="BA9" s="99"/>
      <c r="BB9" s="298" t="str">
        <f>'Cool Racers'!$C$3&amp;"-"&amp;'Cool Racers'!$E$57</f>
        <v>Cool Racers-6</v>
      </c>
      <c r="BC9" s="299">
        <f>IF('Cool Racers'!$V$57="","",'Cool Racers'!$V$57)</f>
        <v>18.92</v>
      </c>
      <c r="BD9" s="299">
        <f>IF('Cool Racers'!$V$58="","",'Cool Racers'!$V$58)</f>
        <v>18.74</v>
      </c>
      <c r="BE9" s="299">
        <f>IF('Cool Racers'!$V$59="","",'Cool Racers'!$V$59)</f>
        <v>18.77</v>
      </c>
      <c r="BF9" s="299">
        <f>IF('Cool Racers'!$V$60="","",'Cool Racers'!$V$60)</f>
      </c>
      <c r="BG9" s="299">
        <f>IF('Cool Racers'!$V$61="","",'Cool Racers'!$V$61)</f>
      </c>
      <c r="BH9" s="300" t="str">
        <f>IF('Cool Racers'!$Z$57="","",'Cool Racers'!$Z$57)</f>
        <v>W</v>
      </c>
      <c r="BI9" s="300" t="str">
        <f>IF('Cool Racers'!$Z$58="","",'Cool Racers'!$Z$58)</f>
        <v>W</v>
      </c>
      <c r="BJ9" s="300" t="str">
        <f>IF('Cool Racers'!$Z$59="","",'Cool Racers'!$Z$59)</f>
        <v>W</v>
      </c>
      <c r="BK9" s="300">
        <f>IF('Cool Racers'!$Z$60="","",'Cool Racers'!$Z$60)</f>
      </c>
      <c r="BL9" s="301">
        <f>IF('Cool Racers'!$Z$61="","",'Cool Racers'!$Z$61)</f>
      </c>
    </row>
    <row r="10" spans="1:64" s="190" customFormat="1" ht="18.75" customHeight="1" thickBot="1">
      <c r="A10" s="282"/>
      <c r="B10" s="282"/>
      <c r="C10" s="282"/>
      <c r="D10" s="619" t="s">
        <v>8</v>
      </c>
      <c r="E10" s="417">
        <f>VLOOKUP(E8,$O$10:$AQ$23,28,FALSE)</f>
        <v>3</v>
      </c>
      <c r="F10" s="630" t="str">
        <f>VLOOKUP(G11,$O$10:$AQ$23,4,FALSE)</f>
        <v>Cool Racers</v>
      </c>
      <c r="G10" s="623"/>
      <c r="H10" s="282"/>
      <c r="I10" s="282"/>
      <c r="J10" s="434"/>
      <c r="K10" s="280"/>
      <c r="M10" s="327" t="str">
        <f>N10&amp;uitslagen!$E$50</f>
        <v>1Rood</v>
      </c>
      <c r="N10" s="160">
        <v>1</v>
      </c>
      <c r="O10" s="328" t="s">
        <v>4</v>
      </c>
      <c r="P10" s="113" t="str">
        <f>"W"&amp;N10</f>
        <v>W1</v>
      </c>
      <c r="Q10" s="113" t="str">
        <f>IF(P10=AQ10&amp;N10,R10,IF(P10=AQ11&amp;N11,R11,""))</f>
        <v>Cool Racers</v>
      </c>
      <c r="R10" s="325" t="str">
        <f>IF(uitslagen!$E$82="","",VLOOKUP(1,uitslagen!$D$82:$E$90,2,FALSE))</f>
        <v>Flying Stars</v>
      </c>
      <c r="S10" s="101" t="str">
        <f aca="true" t="shared" si="0" ref="S10:S23">R10&amp;"-"&amp;N10</f>
        <v>Flying Stars-1</v>
      </c>
      <c r="T10" s="102">
        <f aca="true" t="shared" si="1" ref="T10:AC23">IF($R10="","",VLOOKUP($S10,$BB$2:$BL$22,T$9,FALSE))</f>
        <v>19.94</v>
      </c>
      <c r="U10" s="103" t="str">
        <f t="shared" si="1"/>
        <v>NT</v>
      </c>
      <c r="V10" s="103" t="str">
        <f t="shared" si="1"/>
        <v>NT</v>
      </c>
      <c r="W10" s="103">
        <f t="shared" si="1"/>
        <v>99.99</v>
      </c>
      <c r="X10" s="104">
        <f t="shared" si="1"/>
      </c>
      <c r="Y10" s="102" t="str">
        <f t="shared" si="1"/>
        <v>W</v>
      </c>
      <c r="Z10" s="103" t="str">
        <f t="shared" si="1"/>
        <v>L</v>
      </c>
      <c r="AA10" s="103" t="str">
        <f t="shared" si="1"/>
        <v>L</v>
      </c>
      <c r="AB10" s="103" t="str">
        <f t="shared" si="1"/>
        <v>L</v>
      </c>
      <c r="AC10" s="104">
        <f t="shared" si="1"/>
      </c>
      <c r="AD10" s="105" t="str">
        <f>IF(T10="W","W",IF(T10="","",(IF(T10=T11,"T",IF(OR(T10="nt",T11="w"),"L",IF(T10&lt;T11,"W","L"))))))</f>
        <v>W</v>
      </c>
      <c r="AE10" s="105" t="str">
        <f>IF(U10="W","W",IF(U10="","",(IF(U10=U11,"T",IF(OR(U10="nt",U11="w"),"L",IF(U10&lt;U11,"W","L"))))))</f>
        <v>L</v>
      </c>
      <c r="AF10" s="105" t="str">
        <f>IF(V10="W","W",IF(V10="","",(IF(V10=V11,"T",IF(OR(V10="nt",V11="w"),"L",IF(V10&lt;V11,"W","L"))))))</f>
        <v>L</v>
      </c>
      <c r="AG10" s="106" t="str">
        <f>IF(W10="W","W",IF(W10="","",(IF(W10=W11,"T",IF(OR(W10="nt",W11="w"),"L",IF(W10&lt;W11,"W","L"))))))</f>
        <v>L</v>
      </c>
      <c r="AH10" s="107">
        <f>IF(X10="W","W",IF(X10="","",(IF(X10=X11,"T",IF(OR(X10="nt",X11="w"),"L",IF(X10&lt;X11,"W","L"))))))</f>
      </c>
      <c r="AI10" s="108">
        <f>IF(Y11="","",IF(OR(AND(Y10=Y11,Y10&lt;&gt;"T"),Y10&lt;&gt;AD10,Y10=""),"x",""))</f>
      </c>
      <c r="AJ10" s="109">
        <f>IF(Z11="","",IF(OR(AND(Z10=Z11,Z10&lt;&gt;"T"),Z10&lt;&gt;AE10,Z10=""),"x",""))</f>
      </c>
      <c r="AK10" s="109">
        <f>IF(AA11="","",IF(OR(AND(AA10=AA11,AA10&lt;&gt;"T"),AA10&lt;&gt;AF10,AA10=""),"x",""))</f>
      </c>
      <c r="AL10" s="109">
        <f>IF(AB11="","",IF(OR(AND(AB10=AB11,AB10&lt;&gt;"T"),AB10&lt;&gt;AG10,AB10=""),"x",""))</f>
      </c>
      <c r="AM10" s="110">
        <f>IF(AC11="","",IF(OR(AND(AC10=AC11,AC10&lt;&gt;"T"),AC10&lt;&gt;AH10,AC10=""),"x",""))</f>
      </c>
      <c r="AN10" s="437">
        <f>IF(COUNTIF(AI10:AM10,"x")&gt;=1,"X","")</f>
      </c>
      <c r="AO10" s="112">
        <f>IF(COUNTIF(T10:X10,"")=5,"",IF(COUNT(T10:X10)&gt;=1,SMALL(T10:X10,1),"NT"))</f>
        <v>19.94</v>
      </c>
      <c r="AP10" s="113">
        <f>IF(COUNTIF(Y10:AC10,"")=5,"",(COUNTIF(Y10:AC10,"w")))</f>
        <v>1</v>
      </c>
      <c r="AQ10" s="114" t="str">
        <f>IF(COUNTIF(Y10:AC10,"w")=uitslagen!$H$49,"W",IF(COUNTIF(Y10:AC10,"L")=uitslagen!$H$49,"L",""))</f>
        <v>L</v>
      </c>
      <c r="AR10" s="114" t="str">
        <f>R11</f>
        <v>Cool Racers</v>
      </c>
      <c r="AS10" s="328" t="s">
        <v>13</v>
      </c>
      <c r="AT10" s="111">
        <v>1</v>
      </c>
      <c r="AU10" s="2"/>
      <c r="AV10" s="328"/>
      <c r="AW10" s="329">
        <v>1</v>
      </c>
      <c r="AX10" s="329" t="str">
        <f>AV10&amp;"-"&amp;AW10</f>
        <v>-1</v>
      </c>
      <c r="AY10" s="328">
        <v>3</v>
      </c>
      <c r="AZ10" s="113">
        <v>4</v>
      </c>
      <c r="BA10" s="99"/>
      <c r="BB10" s="298" t="str">
        <f>'Cool Racers'!$C$3&amp;"-"&amp;'Cool Racers'!$E$64</f>
        <v>Cool Racers-</v>
      </c>
      <c r="BC10" s="299">
        <f>IF('Cool Racers'!$V$64="","",'Cool Racers'!$V$64)</f>
      </c>
      <c r="BD10" s="299">
        <f>IF('Cool Racers'!$V$65="","",'Cool Racers'!$V$65)</f>
      </c>
      <c r="BE10" s="299">
        <f>IF('Cool Racers'!$V$66="","",'Cool Racers'!$V$66)</f>
      </c>
      <c r="BF10" s="299">
        <f>IF('Cool Racers'!$V$67="","",'Cool Racers'!$V$67)</f>
      </c>
      <c r="BG10" s="299">
        <f>IF('Cool Racers'!$V$68="","",'Cool Racers'!$V$68)</f>
      </c>
      <c r="BH10" s="300">
        <f>IF('Cool Racers'!$Z$64="","",'Cool Racers'!$Z$64)</f>
      </c>
      <c r="BI10" s="300">
        <f>IF('Cool Racers'!$Z$65="","",'Cool Racers'!$Z$65)</f>
      </c>
      <c r="BJ10" s="300">
        <f>IF('Cool Racers'!$Z$66="","",'Cool Racers'!$Z$66)</f>
      </c>
      <c r="BK10" s="300">
        <f>IF('Cool Racers'!$Z$67="","",'Cool Racers'!$Z$67)</f>
      </c>
      <c r="BL10" s="301">
        <f>IF('Cool Racers'!$Z$68="","",'Cool Racers'!$Z$68)</f>
      </c>
    </row>
    <row r="11" spans="1:64" s="190" customFormat="1" ht="18.75" customHeight="1" thickBot="1" thickTop="1">
      <c r="A11" s="452"/>
      <c r="B11" s="282"/>
      <c r="C11" s="282"/>
      <c r="D11" s="619"/>
      <c r="E11" s="418">
        <f>VLOOKUP(E14,$O$10:$AQ$23,28,FALSE)</f>
        <v>2</v>
      </c>
      <c r="F11" s="279">
        <f>VLOOKUP(G11,$O$10:$AQ$23,27,FALSE)</f>
        <v>18.74</v>
      </c>
      <c r="G11" s="442" t="s">
        <v>91</v>
      </c>
      <c r="H11" s="415"/>
      <c r="I11" s="282"/>
      <c r="J11" s="434"/>
      <c r="K11" s="434"/>
      <c r="M11" s="306" t="str">
        <f>N11&amp;uitslagen!$I$50</f>
        <v>1Blauw</v>
      </c>
      <c r="N11" s="307">
        <v>1</v>
      </c>
      <c r="O11" s="308" t="s">
        <v>3</v>
      </c>
      <c r="P11" s="309" t="str">
        <f>"L"&amp;N11</f>
        <v>L1</v>
      </c>
      <c r="Q11" s="309" t="str">
        <f>IF(P11=AQ11&amp;N11,R11,IF(P11=AQ10&amp;N10,R10,""))</f>
        <v>Flying Stars</v>
      </c>
      <c r="R11" s="326" t="str">
        <f>IF(uitslagen!$E$82="","",VLOOKUP(4,uitslagen!$D$82:$E$90,2,FALSE))</f>
        <v>Cool Racers</v>
      </c>
      <c r="S11" s="310" t="str">
        <f t="shared" si="0"/>
        <v>Cool Racers-1</v>
      </c>
      <c r="T11" s="311" t="str">
        <f t="shared" si="1"/>
        <v>NT</v>
      </c>
      <c r="U11" s="312">
        <f t="shared" si="1"/>
        <v>18.33</v>
      </c>
      <c r="V11" s="312">
        <f t="shared" si="1"/>
        <v>19.02</v>
      </c>
      <c r="W11" s="312">
        <f t="shared" si="1"/>
        <v>18.48</v>
      </c>
      <c r="X11" s="313">
        <f t="shared" si="1"/>
      </c>
      <c r="Y11" s="311" t="str">
        <f t="shared" si="1"/>
        <v>L</v>
      </c>
      <c r="Z11" s="312" t="str">
        <f t="shared" si="1"/>
        <v>W</v>
      </c>
      <c r="AA11" s="312" t="str">
        <f t="shared" si="1"/>
        <v>W</v>
      </c>
      <c r="AB11" s="312" t="str">
        <f t="shared" si="1"/>
        <v>W</v>
      </c>
      <c r="AC11" s="313">
        <f t="shared" si="1"/>
      </c>
      <c r="AD11" s="314" t="str">
        <f>IF(T11="W","W",IF(T11="","",(IF(T11=T10,"T",IF(OR(T11="nt",T10="w"),"L",IF(T11&lt;T10,"W","L"))))))</f>
        <v>L</v>
      </c>
      <c r="AE11" s="314" t="str">
        <f>IF(U11="W","W",IF(U11="","",(IF(U11=U10,"T",IF(OR(U11="nt",U10="w"),"L",IF(U11&lt;U10,"W","L"))))))</f>
        <v>W</v>
      </c>
      <c r="AF11" s="314" t="str">
        <f>IF(V11="W","W",IF(V11="","",(IF(V11=V10,"T",IF(OR(V11="nt",V10="w"),"L",IF(V11&lt;V10,"W","L"))))))</f>
        <v>W</v>
      </c>
      <c r="AG11" s="314" t="str">
        <f>IF(W11="W","W",IF(W11="","",(IF(W11=W10,"T",IF(OR(W11="nt",W10="w"),"L",IF(W11&lt;W10,"W","L"))))))</f>
        <v>W</v>
      </c>
      <c r="AH11" s="315">
        <f>IF(X11="W","W",IF(X11="","",(IF(X11=X10,"T",IF(OR(X11="nt",X10="w"),"L",IF(X11&lt;X10,"W","L"))))))</f>
      </c>
      <c r="AI11" s="316">
        <f>IF(Y10="","",IF(OR(AND(Y11=Y10,Y11&lt;&gt;"T"),Y11&lt;&gt;AD11,Y11=""),"x",""))</f>
      </c>
      <c r="AJ11" s="320">
        <f>IF(Z10="","",IF(OR(AND(Z11=Z10,Z11&lt;&gt;"T"),Z11&lt;&gt;AE11,Z11=""),"x",""))</f>
      </c>
      <c r="AK11" s="320">
        <f>IF(AA10="","",IF(OR(AND(AA11=AA10,AA11&lt;&gt;"T"),AA11&lt;&gt;AF11,AA11=""),"x",""))</f>
      </c>
      <c r="AL11" s="320">
        <f>IF(AB10="","",IF(OR(AND(AB11=AB10,AB11&lt;&gt;"T"),AB11&lt;&gt;AG11,AB11=""),"x",""))</f>
      </c>
      <c r="AM11" s="321">
        <f>IF(AC10="","",IF(OR(AND(AC11=AC10,AC11&lt;&gt;"T"),AC11&lt;&gt;AH11,AC11=""),"x",""))</f>
      </c>
      <c r="AN11" s="322">
        <f aca="true" t="shared" si="2" ref="AN11:AN23">IF(COUNTIF(AI11:AM11,"x")&gt;=1,"X","")</f>
      </c>
      <c r="AO11" s="318">
        <f>IF(COUNTIF(T11:X11,"")=5,"",IF(COUNT(T11:X11)&gt;=1,SMALL(T11:X11,1),"NT"))</f>
        <v>18.33</v>
      </c>
      <c r="AP11" s="309">
        <f>IF(COUNTIF(Y11:AC11,"")=5,"",(COUNTIF(Y11:AC11,"w")))</f>
        <v>3</v>
      </c>
      <c r="AQ11" s="319" t="str">
        <f>IF(COUNTIF(Y11:AC11,"w")=uitslagen!$H$49,"W",IF(COUNTIF(Y11:AC11,"L")=uitslagen!$H$49,"L",""))</f>
        <v>W</v>
      </c>
      <c r="AR11" s="319" t="str">
        <f>R10</f>
        <v>Flying Stars</v>
      </c>
      <c r="AS11" s="308" t="s">
        <v>14</v>
      </c>
      <c r="AT11" s="317">
        <v>1</v>
      </c>
      <c r="AU11" s="2"/>
      <c r="AV11" s="308"/>
      <c r="AW11" s="300">
        <v>1</v>
      </c>
      <c r="AX11" s="300" t="str">
        <f aca="true" t="shared" si="3" ref="AX11:AX23">AV11&amp;"-"&amp;AW11</f>
        <v>-1</v>
      </c>
      <c r="AY11" s="308">
        <v>3</v>
      </c>
      <c r="AZ11" s="309">
        <v>4</v>
      </c>
      <c r="BA11" s="99"/>
      <c r="BB11" s="298" t="str">
        <f>'Cool Racers'!$C$3&amp;"-"&amp;'Cool Racers'!$E$71</f>
        <v>Cool Racers-</v>
      </c>
      <c r="BC11" s="299">
        <f>IF('Cool Racers'!$V$71="","",'Cool Racers'!$V$71)</f>
      </c>
      <c r="BD11" s="299">
        <f>IF('Cool Racers'!$V$72="","",'Cool Racers'!$V$72)</f>
      </c>
      <c r="BE11" s="299">
        <f>IF('Cool Racers'!$V$73="","",'Cool Racers'!$V$73)</f>
      </c>
      <c r="BF11" s="299">
        <f>IF('Cool Racers'!$V$74="","",'Cool Racers'!$V$74)</f>
      </c>
      <c r="BG11" s="299">
        <f>IF('Cool Racers'!$V$75="","",'Cool Racers'!$V$75)</f>
      </c>
      <c r="BH11" s="300">
        <f>IF('Cool Racers'!$Z$71="","",'Cool Racers'!$Z$71)</f>
      </c>
      <c r="BI11" s="300">
        <f>IF('Cool Racers'!$Z$72="","",'Cool Racers'!$Z$72)</f>
      </c>
      <c r="BJ11" s="300">
        <f>IF('Cool Racers'!$Z$73="","",'Cool Racers'!$Z$73)</f>
      </c>
      <c r="BK11" s="300">
        <f>IF('Cool Racers'!$Z$74="","",'Cool Racers'!$Z$74)</f>
      </c>
      <c r="BL11" s="301">
        <f>IF('Cool Racers'!$Z$75="","",'Cool Racers'!$Z$75)</f>
      </c>
    </row>
    <row r="12" spans="1:64" s="190" customFormat="1" ht="18.75" customHeight="1">
      <c r="A12" s="453"/>
      <c r="B12" s="282"/>
      <c r="C12" s="282"/>
      <c r="D12" s="282"/>
      <c r="E12" s="286">
        <f>VLOOKUP(E14,$O$10:$AQ$23,26,FALSE)</f>
      </c>
      <c r="F12" s="282"/>
      <c r="G12" s="444"/>
      <c r="H12" s="415"/>
      <c r="I12" s="282"/>
      <c r="J12" s="280"/>
      <c r="K12" s="280"/>
      <c r="M12" s="327" t="str">
        <f>N12&amp;uitslagen!$E$50</f>
        <v>2Rood</v>
      </c>
      <c r="N12" s="160">
        <v>2</v>
      </c>
      <c r="O12" s="328" t="s">
        <v>2</v>
      </c>
      <c r="P12" s="113" t="str">
        <f>"W"&amp;N12</f>
        <v>W2</v>
      </c>
      <c r="Q12" s="113" t="str">
        <f>IF(P12=AQ12&amp;N12,R12,IF(P12=AQ13&amp;N13,R13,""))</f>
        <v>Fast'nFurious Flyballteam</v>
      </c>
      <c r="R12" s="325" t="str">
        <f>IF(uitslagen!$E$82="","",VLOOKUP(2,uitslagen!$D$82:$E$90,2,FALSE))</f>
        <v>Fast'nFurious Flyballteam</v>
      </c>
      <c r="S12" s="101" t="str">
        <f t="shared" si="0"/>
        <v>Fast'nFurious Flyballteam-2</v>
      </c>
      <c r="T12" s="102">
        <f t="shared" si="1"/>
        <v>19.24</v>
      </c>
      <c r="U12" s="103">
        <f t="shared" si="1"/>
        <v>26.83</v>
      </c>
      <c r="V12" s="103">
        <f t="shared" si="1"/>
        <v>36.64</v>
      </c>
      <c r="W12" s="103">
        <f t="shared" si="1"/>
      </c>
      <c r="X12" s="104">
        <f t="shared" si="1"/>
      </c>
      <c r="Y12" s="102" t="str">
        <f t="shared" si="1"/>
        <v>W</v>
      </c>
      <c r="Z12" s="103" t="str">
        <f t="shared" si="1"/>
        <v>W</v>
      </c>
      <c r="AA12" s="103" t="str">
        <f t="shared" si="1"/>
        <v>W</v>
      </c>
      <c r="AB12" s="103">
        <f t="shared" si="1"/>
      </c>
      <c r="AC12" s="104">
        <f t="shared" si="1"/>
      </c>
      <c r="AD12" s="105" t="str">
        <f>IF(T12="W","W",IF(T12="","",(IF(T12=T13,"T",IF(OR(T12="nt",T13="w"),"L",IF(T12&lt;T13,"W","L"))))))</f>
        <v>W</v>
      </c>
      <c r="AE12" s="105" t="str">
        <f>IF(U12="W","W",IF(U12="","",(IF(U12=U13,"T",IF(OR(U12="nt",U13="w"),"L",IF(U12&lt;U13,"W","L"))))))</f>
        <v>W</v>
      </c>
      <c r="AF12" s="105" t="str">
        <f>IF(V12="W","W",IF(V12="","",(IF(V12=V13,"T",IF(OR(V12="nt",V13="w"),"L",IF(V12&lt;V13,"W","L"))))))</f>
        <v>W</v>
      </c>
      <c r="AG12" s="106">
        <f>IF(W12="W","W",IF(W12="","",(IF(W12=W13,"T",IF(OR(W12="nt",W13="w"),"L",IF(W12&lt;W13,"W","L"))))))</f>
      </c>
      <c r="AH12" s="107">
        <f>IF(X12="W","W",IF(X12="","",(IF(X12=X13,"T",IF(OR(X12="nt",X13="w"),"L",IF(X12&lt;X13,"W","L"))))))</f>
      </c>
      <c r="AI12" s="108">
        <f>IF(Y13="","",IF(OR(AND(Y12=Y13,Y12&lt;&gt;"T"),Y12&lt;&gt;AD12,Y12=""),"x",""))</f>
      </c>
      <c r="AJ12" s="109">
        <f>IF(Z13="","",IF(OR(AND(Z12=Z13,Z12&lt;&gt;"T"),Z12&lt;&gt;AE12,Z12=""),"x",""))</f>
      </c>
      <c r="AK12" s="109">
        <f>IF(AA13="","",IF(OR(AND(AA12=AA13,AA12&lt;&gt;"T"),AA12&lt;&gt;AF12,AA12=""),"x",""))</f>
      </c>
      <c r="AL12" s="109">
        <f>IF(AB13="","",IF(OR(AND(AB12=AB13,AB12&lt;&gt;"T"),AB12&lt;&gt;AG12,AB12=""),"x",""))</f>
      </c>
      <c r="AM12" s="110">
        <f>IF(AC13="","",IF(OR(AND(AC12=AC13,AC12&lt;&gt;"T"),AC12&lt;&gt;AH12,AC12=""),"x",""))</f>
      </c>
      <c r="AN12" s="437">
        <f t="shared" si="2"/>
      </c>
      <c r="AO12" s="112">
        <f aca="true" t="shared" si="4" ref="AO12:AO23">IF(COUNTIF(T12:X12,"")=5,"",IF(COUNT(T12:X12)&gt;=1,SMALL(T12:X12,1),"NT"))</f>
        <v>19.24</v>
      </c>
      <c r="AP12" s="113">
        <f aca="true" t="shared" si="5" ref="AP12:AP23">IF(COUNTIF(Y12:AC12,"")=5,"",(COUNTIF(Y12:AC12,"w")))</f>
        <v>3</v>
      </c>
      <c r="AQ12" s="114" t="str">
        <f>IF(COUNTIF(Y12:AC12,"w")=uitslagen!$H$49,"W",IF(COUNTIF(Y12:AC12,"L")=uitslagen!$H$49,"L",""))</f>
        <v>W</v>
      </c>
      <c r="AR12" s="114" t="str">
        <f>R13</f>
        <v>BayernXpress I</v>
      </c>
      <c r="AS12" s="328" t="s">
        <v>13</v>
      </c>
      <c r="AT12" s="111">
        <v>2</v>
      </c>
      <c r="AU12" s="2"/>
      <c r="AV12" s="328"/>
      <c r="AW12" s="329">
        <v>2</v>
      </c>
      <c r="AX12" s="329" t="str">
        <f t="shared" si="3"/>
        <v>-2</v>
      </c>
      <c r="AY12" s="328">
        <v>3</v>
      </c>
      <c r="AZ12" s="113">
        <v>4</v>
      </c>
      <c r="BA12" s="99"/>
      <c r="BB12" s="294" t="str">
        <f>'Flying Stars'!$C$3&amp;"-"&amp;'Flying Stars'!$E$43</f>
        <v>Flying Stars-1</v>
      </c>
      <c r="BC12" s="295">
        <f>IF('Flying Stars'!$V$43="","",'Flying Stars'!$V$43)</f>
        <v>19.94</v>
      </c>
      <c r="BD12" s="295" t="str">
        <f>IF('Flying Stars'!$V$44="","",'Flying Stars'!$V$44)</f>
        <v>NT</v>
      </c>
      <c r="BE12" s="295" t="str">
        <f>IF('Flying Stars'!$V$45="","",'Flying Stars'!$V$45)</f>
        <v>NT</v>
      </c>
      <c r="BF12" s="295">
        <f>IF('Flying Stars'!$V$46="","",'Flying Stars'!$V$46)</f>
        <v>99.99</v>
      </c>
      <c r="BG12" s="295">
        <f>IF('Flying Stars'!$V$47="","",'Flying Stars'!$V$47)</f>
      </c>
      <c r="BH12" s="296" t="str">
        <f>IF('Flying Stars'!$Z$43="","",'Flying Stars'!$Z$43)</f>
        <v>W</v>
      </c>
      <c r="BI12" s="296" t="str">
        <f>IF('Flying Stars'!$Z$44="","",'Flying Stars'!$Z$44)</f>
        <v>L</v>
      </c>
      <c r="BJ12" s="296" t="str">
        <f>IF('Flying Stars'!$Z$45="","",'Flying Stars'!$Z$45)</f>
        <v>L</v>
      </c>
      <c r="BK12" s="296" t="str">
        <f>IF('Flying Stars'!$Z$46="","",'Flying Stars'!$Z$46)</f>
        <v>L</v>
      </c>
      <c r="BL12" s="297">
        <f>IF('Flying Stars'!$Z$47="","",'Flying Stars'!$Z$47)</f>
      </c>
    </row>
    <row r="13" spans="1:64" s="190" customFormat="1" ht="18.75" customHeight="1" thickBot="1">
      <c r="A13" s="626" t="s">
        <v>2</v>
      </c>
      <c r="B13" s="623" t="str">
        <f>VLOOKUP(C14,$O$10:$AQ$23,4,FALSE)</f>
        <v>Fast'nFurious Flyballteam</v>
      </c>
      <c r="C13" s="623"/>
      <c r="D13" s="282"/>
      <c r="E13" s="419"/>
      <c r="F13" s="282"/>
      <c r="G13" s="444"/>
      <c r="H13" s="415"/>
      <c r="I13" s="282"/>
      <c r="J13" s="280"/>
      <c r="K13" s="280"/>
      <c r="M13" s="306" t="str">
        <f>N13&amp;uitslagen!$I$50</f>
        <v>2Blauw</v>
      </c>
      <c r="N13" s="307">
        <v>2</v>
      </c>
      <c r="O13" s="308" t="s">
        <v>0</v>
      </c>
      <c r="P13" s="309" t="str">
        <f>"L"&amp;N13</f>
        <v>L2</v>
      </c>
      <c r="Q13" s="309" t="str">
        <f>IF(P13=AQ13&amp;N13,R13,IF(P13=AQ12&amp;N12,R12,""))</f>
        <v>BayernXpress I</v>
      </c>
      <c r="R13" s="326" t="str">
        <f>IF(uitslagen!$E$82="","",VLOOKUP(3,uitslagen!$D$82:$E$90,2,FALSE))</f>
        <v>BayernXpress I</v>
      </c>
      <c r="S13" s="310" t="str">
        <f t="shared" si="0"/>
        <v>BayernXpress I-2</v>
      </c>
      <c r="T13" s="311" t="str">
        <f t="shared" si="1"/>
        <v>NT</v>
      </c>
      <c r="U13" s="312" t="str">
        <f t="shared" si="1"/>
        <v>NT</v>
      </c>
      <c r="V13" s="312" t="str">
        <f t="shared" si="1"/>
        <v>NT</v>
      </c>
      <c r="W13" s="312">
        <f t="shared" si="1"/>
      </c>
      <c r="X13" s="313">
        <f t="shared" si="1"/>
      </c>
      <c r="Y13" s="311" t="str">
        <f t="shared" si="1"/>
        <v>L</v>
      </c>
      <c r="Z13" s="312" t="str">
        <f t="shared" si="1"/>
        <v>L</v>
      </c>
      <c r="AA13" s="312" t="str">
        <f t="shared" si="1"/>
        <v>L</v>
      </c>
      <c r="AB13" s="312">
        <f t="shared" si="1"/>
      </c>
      <c r="AC13" s="313">
        <f t="shared" si="1"/>
      </c>
      <c r="AD13" s="314" t="str">
        <f>IF(T13="W","W",IF(T13="","",(IF(T13=T12,"T",IF(OR(T13="nt",T12="w"),"L",IF(T13&lt;T12,"W","L"))))))</f>
        <v>L</v>
      </c>
      <c r="AE13" s="314" t="str">
        <f>IF(U13="W","W",IF(U13="","",(IF(U13=U12,"T",IF(OR(U13="nt",U12="w"),"L",IF(U13&lt;U12,"W","L"))))))</f>
        <v>L</v>
      </c>
      <c r="AF13" s="314" t="str">
        <f>IF(V13="W","W",IF(V13="","",(IF(V13=V12,"T",IF(OR(V13="nt",V12="w"),"L",IF(V13&lt;V12,"W","L"))))))</f>
        <v>L</v>
      </c>
      <c r="AG13" s="314">
        <f>IF(W13="W","W",IF(W13="","",(IF(W13=W12,"T",IF(OR(W13="nt",W12="w"),"L",IF(W13&lt;W12,"W","L"))))))</f>
      </c>
      <c r="AH13" s="315">
        <f>IF(X13="W","W",IF(X13="","",(IF(X13=X12,"T",IF(OR(X13="nt",X12="w"),"L",IF(X13&lt;X12,"W","L"))))))</f>
      </c>
      <c r="AI13" s="316">
        <f>IF(Y12="","",IF(OR(AND(Y13=Y12,Y13&lt;&gt;"T"),Y13&lt;&gt;AD13,Y13=""),"x",""))</f>
      </c>
      <c r="AJ13" s="320">
        <f>IF(Z12="","",IF(OR(AND(Z13=Z12,Z13&lt;&gt;"T"),Z13&lt;&gt;AE13,Z13=""),"x",""))</f>
      </c>
      <c r="AK13" s="320">
        <f>IF(AA12="","",IF(OR(AND(AA13=AA12,AA13&lt;&gt;"T"),AA13&lt;&gt;AF13,AA13=""),"x",""))</f>
      </c>
      <c r="AL13" s="320">
        <f>IF(AB12="","",IF(OR(AND(AB13=AB12,AB13&lt;&gt;"T"),AB13&lt;&gt;AG13,AB13=""),"x",""))</f>
      </c>
      <c r="AM13" s="321">
        <f>IF(AC12="","",IF(OR(AND(AC13=AC12,AC13&lt;&gt;"T"),AC13&lt;&gt;AH13,AC13=""),"x",""))</f>
      </c>
      <c r="AN13" s="322">
        <f t="shared" si="2"/>
      </c>
      <c r="AO13" s="318" t="str">
        <f t="shared" si="4"/>
        <v>NT</v>
      </c>
      <c r="AP13" s="309">
        <f t="shared" si="5"/>
        <v>0</v>
      </c>
      <c r="AQ13" s="319" t="str">
        <f>IF(COUNTIF(Y13:AC13,"w")=uitslagen!$H$49,"W",IF(COUNTIF(Y13:AC13,"L")=uitslagen!$H$49,"L",""))</f>
        <v>L</v>
      </c>
      <c r="AR13" s="319" t="str">
        <f>R12</f>
        <v>Fast'nFurious Flyballteam</v>
      </c>
      <c r="AS13" s="308" t="s">
        <v>14</v>
      </c>
      <c r="AT13" s="317">
        <v>2</v>
      </c>
      <c r="AU13" s="2"/>
      <c r="AV13" s="308"/>
      <c r="AW13" s="300">
        <v>2</v>
      </c>
      <c r="AX13" s="300" t="str">
        <f t="shared" si="3"/>
        <v>-2</v>
      </c>
      <c r="AY13" s="308">
        <v>3</v>
      </c>
      <c r="AZ13" s="309">
        <v>4</v>
      </c>
      <c r="BA13" s="99"/>
      <c r="BB13" s="298" t="str">
        <f>'Flying Stars'!$C$3&amp;"-"&amp;'Flying Stars'!$E$50</f>
        <v>Flying Stars-4</v>
      </c>
      <c r="BC13" s="299">
        <f>IF('Flying Stars'!$V$50="","",'Flying Stars'!$V$50)</f>
        <v>20.74</v>
      </c>
      <c r="BD13" s="299">
        <f>IF('Flying Stars'!$V$51="","",'Flying Stars'!$V$51)</f>
        <v>20.63</v>
      </c>
      <c r="BE13" s="299">
        <f>IF('Flying Stars'!$V$52="","",'Flying Stars'!$V$52)</f>
        <v>20.72</v>
      </c>
      <c r="BF13" s="299">
        <f>IF('Flying Stars'!$V$53="","",'Flying Stars'!$V$53)</f>
        <v>20.95</v>
      </c>
      <c r="BG13" s="299">
        <f>IF('Flying Stars'!$V$54="","",'Flying Stars'!$V$54)</f>
        <v>20.4</v>
      </c>
      <c r="BH13" s="300" t="str">
        <f>IF('Flying Stars'!$Z$50="","",'Flying Stars'!$Z$50)</f>
        <v>L</v>
      </c>
      <c r="BI13" s="300" t="str">
        <f>IF('Flying Stars'!$Z$51="","",'Flying Stars'!$Z$51)</f>
        <v>W</v>
      </c>
      <c r="BJ13" s="300" t="str">
        <f>IF('Flying Stars'!$Z$52="","",'Flying Stars'!$Z$52)</f>
        <v>W</v>
      </c>
      <c r="BK13" s="300" t="str">
        <f>IF('Flying Stars'!$Z$53="","",'Flying Stars'!$Z$53)</f>
        <v>L</v>
      </c>
      <c r="BL13" s="301" t="str">
        <f>IF('Flying Stars'!$Z$54="","",'Flying Stars'!$Z$54)</f>
        <v>L</v>
      </c>
    </row>
    <row r="14" spans="1:64" s="190" customFormat="1" ht="18.75" customHeight="1" thickTop="1">
      <c r="A14" s="626"/>
      <c r="B14" s="279">
        <f>VLOOKUP(C14,$O$10:$AQ$23,27,FALSE)</f>
        <v>19.24</v>
      </c>
      <c r="C14" s="442" t="s">
        <v>2</v>
      </c>
      <c r="D14" s="282"/>
      <c r="E14" s="445" t="s">
        <v>90</v>
      </c>
      <c r="F14" s="282"/>
      <c r="G14" s="444"/>
      <c r="H14" s="415"/>
      <c r="I14" s="282"/>
      <c r="J14" s="280"/>
      <c r="K14" s="280"/>
      <c r="M14" s="327" t="str">
        <f>N14&amp;uitslagen!$E$50</f>
        <v>3Rood</v>
      </c>
      <c r="N14" s="160">
        <v>3</v>
      </c>
      <c r="O14" s="328" t="s">
        <v>87</v>
      </c>
      <c r="P14" s="113" t="str">
        <f>"W"&amp;N14</f>
        <v>W3</v>
      </c>
      <c r="Q14" s="113" t="str">
        <f>IF(P14=AQ14&amp;N14,R14,IF(P14=AQ15&amp;N15,R15,""))</f>
        <v>Cool Racers</v>
      </c>
      <c r="R14" s="113" t="str">
        <f aca="true" t="shared" si="6" ref="R14:R21">VLOOKUP(O14,$P$10:$Q$24,2,FALSE)</f>
        <v>Cool Racers</v>
      </c>
      <c r="S14" s="101" t="str">
        <f t="shared" si="0"/>
        <v>Cool Racers-3</v>
      </c>
      <c r="T14" s="102" t="str">
        <f t="shared" si="1"/>
        <v>NT</v>
      </c>
      <c r="U14" s="103">
        <f t="shared" si="1"/>
        <v>18.28</v>
      </c>
      <c r="V14" s="103" t="str">
        <f t="shared" si="1"/>
        <v>NT</v>
      </c>
      <c r="W14" s="103">
        <f t="shared" si="1"/>
        <v>18.54</v>
      </c>
      <c r="X14" s="104">
        <f t="shared" si="1"/>
        <v>19.25</v>
      </c>
      <c r="Y14" s="102" t="str">
        <f t="shared" si="1"/>
        <v>L</v>
      </c>
      <c r="Z14" s="103" t="str">
        <f t="shared" si="1"/>
        <v>W</v>
      </c>
      <c r="AA14" s="103" t="str">
        <f t="shared" si="1"/>
        <v>L</v>
      </c>
      <c r="AB14" s="103" t="str">
        <f t="shared" si="1"/>
        <v>W</v>
      </c>
      <c r="AC14" s="104" t="str">
        <f t="shared" si="1"/>
        <v>W</v>
      </c>
      <c r="AD14" s="105" t="str">
        <f>IF(T14="W","W",IF(T14="","",(IF(T14=T15,"T",IF(OR(T14="nt",T15="w"),"L",IF(T14&lt;T15,"W","L"))))))</f>
        <v>L</v>
      </c>
      <c r="AE14" s="105" t="str">
        <f>IF(U14="W","W",IF(U14="","",(IF(U14=U15,"T",IF(OR(U14="nt",U15="w"),"L",IF(U14&lt;U15,"W","L"))))))</f>
        <v>W</v>
      </c>
      <c r="AF14" s="105" t="str">
        <f>IF(V14="W","W",IF(V14="","",(IF(V14=V15,"T",IF(OR(V14="nt",V15="w"),"L",IF(V14&lt;V15,"W","L"))))))</f>
        <v>L</v>
      </c>
      <c r="AG14" s="106" t="str">
        <f>IF(W14="W","W",IF(W14="","",(IF(W14=W15,"T",IF(OR(W14="nt",W15="w"),"L",IF(W14&lt;W15,"W","L"))))))</f>
        <v>W</v>
      </c>
      <c r="AH14" s="107" t="str">
        <f>IF(X14="W","W",IF(X14="","",(IF(X14=X15,"T",IF(OR(X14="nt",X15="w"),"L",IF(X14&lt;X15,"W","L"))))))</f>
        <v>W</v>
      </c>
      <c r="AI14" s="108">
        <f>IF(Y15="","",IF(OR(AND(Y14=Y15,Y14&lt;&gt;"T"),Y14&lt;&gt;AD14,Y14=""),"x",""))</f>
      </c>
      <c r="AJ14" s="109">
        <f>IF(Z15="","",IF(OR(AND(Z14=Z15,Z14&lt;&gt;"T"),Z14&lt;&gt;AE14,Z14=""),"x",""))</f>
      </c>
      <c r="AK14" s="109">
        <f>IF(AA15="","",IF(OR(AND(AA14=AA15,AA14&lt;&gt;"T"),AA14&lt;&gt;AF14,AA14=""),"x",""))</f>
      </c>
      <c r="AL14" s="109">
        <f>IF(AB15="","",IF(OR(AND(AB14=AB15,AB14&lt;&gt;"T"),AB14&lt;&gt;AG14,AB14=""),"x",""))</f>
      </c>
      <c r="AM14" s="110">
        <f>IF(AC15="","",IF(OR(AND(AC14=AC15,AC14&lt;&gt;"T"),AC14&lt;&gt;AH14,AC14=""),"x",""))</f>
      </c>
      <c r="AN14" s="437">
        <f t="shared" si="2"/>
      </c>
      <c r="AO14" s="112">
        <f t="shared" si="4"/>
        <v>18.28</v>
      </c>
      <c r="AP14" s="113">
        <f t="shared" si="5"/>
        <v>3</v>
      </c>
      <c r="AQ14" s="114" t="str">
        <f>IF(COUNTIF(Y14:AC14,"w")=uitslagen!$H$49,"W",IF(COUNTIF(Y14:AC14,"L")=uitslagen!$H$49,"L",""))</f>
        <v>W</v>
      </c>
      <c r="AR14" s="114" t="str">
        <f>R15</f>
        <v>Fast'nFurious Flyballteam</v>
      </c>
      <c r="AS14" s="328" t="s">
        <v>13</v>
      </c>
      <c r="AT14" s="111">
        <v>3</v>
      </c>
      <c r="AU14" s="2"/>
      <c r="AV14" s="328">
        <v>1</v>
      </c>
      <c r="AW14" s="329">
        <v>3</v>
      </c>
      <c r="AX14" s="329" t="str">
        <f t="shared" si="3"/>
        <v>1-3</v>
      </c>
      <c r="AY14" s="328">
        <v>6</v>
      </c>
      <c r="AZ14" s="113">
        <v>5</v>
      </c>
      <c r="BA14" s="99"/>
      <c r="BB14" s="298" t="str">
        <f>'Flying Stars'!$C$3&amp;"-"&amp;'Flying Stars'!$E$57</f>
        <v>Flying Stars-</v>
      </c>
      <c r="BC14" s="299">
        <f>IF('Flying Stars'!$V$57="","",'Flying Stars'!$V$57)</f>
      </c>
      <c r="BD14" s="299">
        <f>IF('Flying Stars'!$V$58="","",'Flying Stars'!$V$58)</f>
      </c>
      <c r="BE14" s="299">
        <f>IF('Flying Stars'!$V$59="","",'Flying Stars'!$V$59)</f>
      </c>
      <c r="BF14" s="299">
        <f>IF('Flying Stars'!$V$60="","",'Flying Stars'!$V$60)</f>
      </c>
      <c r="BG14" s="299">
        <f>IF('Flying Stars'!$V$61="","",'Flying Stars'!$V$61)</f>
      </c>
      <c r="BH14" s="300">
        <f>IF('Flying Stars'!$Z$57="","",'Flying Stars'!$Z$57)</f>
      </c>
      <c r="BI14" s="300">
        <f>IF('Flying Stars'!$Z$58="","",'Flying Stars'!$Z$58)</f>
      </c>
      <c r="BJ14" s="300">
        <f>IF('Flying Stars'!$Z$59="","",'Flying Stars'!$Z$59)</f>
      </c>
      <c r="BK14" s="300">
        <f>IF('Flying Stars'!$Z$60="","",'Flying Stars'!$Z$60)</f>
      </c>
      <c r="BL14" s="301">
        <f>IF('Flying Stars'!$Z$61="","",'Flying Stars'!$Z$61)</f>
      </c>
    </row>
    <row r="15" spans="1:64" s="190" customFormat="1" ht="18.75" customHeight="1">
      <c r="A15" s="453"/>
      <c r="B15" s="282"/>
      <c r="C15" s="281">
        <f>VLOOKUP(C14,$O$10:$AQ$23,26,FALSE)</f>
      </c>
      <c r="D15" s="282"/>
      <c r="E15" s="419"/>
      <c r="F15" s="282"/>
      <c r="G15" s="444"/>
      <c r="H15" s="415"/>
      <c r="I15" s="282"/>
      <c r="J15" s="280"/>
      <c r="K15" s="280"/>
      <c r="M15" s="306" t="str">
        <f>N15&amp;uitslagen!$I$50</f>
        <v>3Blauw</v>
      </c>
      <c r="N15" s="307">
        <v>3</v>
      </c>
      <c r="O15" s="308" t="s">
        <v>90</v>
      </c>
      <c r="P15" s="309" t="str">
        <f>"L"&amp;N15</f>
        <v>L3</v>
      </c>
      <c r="Q15" s="309" t="str">
        <f>IF(P15=AQ15&amp;N15,R15,IF(P15=AQ14&amp;N14,R14,""))</f>
        <v>Fast'nFurious Flyballteam</v>
      </c>
      <c r="R15" s="309" t="str">
        <f t="shared" si="6"/>
        <v>Fast'nFurious Flyballteam</v>
      </c>
      <c r="S15" s="310" t="str">
        <f t="shared" si="0"/>
        <v>Fast'nFurious Flyballteam-3</v>
      </c>
      <c r="T15" s="311">
        <f t="shared" si="1"/>
        <v>18.67</v>
      </c>
      <c r="U15" s="312" t="str">
        <f t="shared" si="1"/>
        <v>NT</v>
      </c>
      <c r="V15" s="312">
        <f t="shared" si="1"/>
        <v>18.87</v>
      </c>
      <c r="W15" s="312">
        <f t="shared" si="1"/>
        <v>19</v>
      </c>
      <c r="X15" s="313" t="str">
        <f t="shared" si="1"/>
        <v>NT</v>
      </c>
      <c r="Y15" s="311" t="str">
        <f t="shared" si="1"/>
        <v>W</v>
      </c>
      <c r="Z15" s="312" t="str">
        <f t="shared" si="1"/>
        <v>l</v>
      </c>
      <c r="AA15" s="312" t="str">
        <f t="shared" si="1"/>
        <v>W</v>
      </c>
      <c r="AB15" s="312" t="str">
        <f t="shared" si="1"/>
        <v>L</v>
      </c>
      <c r="AC15" s="313" t="str">
        <f t="shared" si="1"/>
        <v>L</v>
      </c>
      <c r="AD15" s="314" t="str">
        <f>IF(T15="W","W",IF(T15="","",(IF(T15=T14,"T",IF(OR(T15="nt",T14="w"),"L",IF(T15&lt;T14,"W","L"))))))</f>
        <v>W</v>
      </c>
      <c r="AE15" s="314" t="str">
        <f>IF(U15="W","W",IF(U15="","",(IF(U15=U14,"T",IF(OR(U15="nt",U14="w"),"L",IF(U15&lt;U14,"W","L"))))))</f>
        <v>L</v>
      </c>
      <c r="AF15" s="314" t="str">
        <f>IF(V15="W","W",IF(V15="","",(IF(V15=V14,"T",IF(OR(V15="nt",V14="w"),"L",IF(V15&lt;V14,"W","L"))))))</f>
        <v>W</v>
      </c>
      <c r="AG15" s="314" t="str">
        <f>IF(W15="W","W",IF(W15="","",(IF(W15=W14,"T",IF(OR(W15="nt",W14="w"),"L",IF(W15&lt;W14,"W","L"))))))</f>
        <v>L</v>
      </c>
      <c r="AH15" s="315" t="str">
        <f>IF(X15="W","W",IF(X15="","",(IF(X15=X14,"T",IF(OR(X15="nt",X14="w"),"L",IF(X15&lt;X14,"W","L"))))))</f>
        <v>L</v>
      </c>
      <c r="AI15" s="316">
        <f>IF(Y14="","",IF(OR(AND(Y15=Y14,Y15&lt;&gt;"T"),Y15&lt;&gt;AD15,Y15=""),"x",""))</f>
      </c>
      <c r="AJ15" s="320">
        <f>IF(Z14="","",IF(OR(AND(Z15=Z14,Z15&lt;&gt;"T"),Z15&lt;&gt;AE15,Z15=""),"x",""))</f>
      </c>
      <c r="AK15" s="320">
        <f>IF(AA14="","",IF(OR(AND(AA15=AA14,AA15&lt;&gt;"T"),AA15&lt;&gt;AF15,AA15=""),"x",""))</f>
      </c>
      <c r="AL15" s="320">
        <f>IF(AB14="","",IF(OR(AND(AB15=AB14,AB15&lt;&gt;"T"),AB15&lt;&gt;AG15,AB15=""),"x",""))</f>
      </c>
      <c r="AM15" s="321">
        <f>IF(AC14="","",IF(OR(AND(AC15=AC14,AC15&lt;&gt;"T"),AC15&lt;&gt;AH15,AC15=""),"x",""))</f>
      </c>
      <c r="AN15" s="322">
        <f t="shared" si="2"/>
      </c>
      <c r="AO15" s="318">
        <f t="shared" si="4"/>
        <v>18.67</v>
      </c>
      <c r="AP15" s="309">
        <f t="shared" si="5"/>
        <v>2</v>
      </c>
      <c r="AQ15" s="319" t="str">
        <f>IF(COUNTIF(Y15:AC15,"w")=uitslagen!$H$49,"W",IF(COUNTIF(Y15:AC15,"L")=uitslagen!$H$49,"L",""))</f>
        <v>L</v>
      </c>
      <c r="AR15" s="319" t="str">
        <f>R14</f>
        <v>Cool Racers</v>
      </c>
      <c r="AS15" s="308" t="s">
        <v>14</v>
      </c>
      <c r="AT15" s="317">
        <v>3</v>
      </c>
      <c r="AU15" s="2"/>
      <c r="AV15" s="308">
        <v>2</v>
      </c>
      <c r="AW15" s="300">
        <v>3</v>
      </c>
      <c r="AX15" s="300" t="str">
        <f t="shared" si="3"/>
        <v>2-3</v>
      </c>
      <c r="AY15" s="308">
        <v>6</v>
      </c>
      <c r="AZ15" s="309">
        <v>5</v>
      </c>
      <c r="BA15" s="99"/>
      <c r="BB15" s="298" t="str">
        <f>'Flying Stars'!$C$3&amp;"-"&amp;'Flying Stars'!$E$64</f>
        <v>Flying Stars-</v>
      </c>
      <c r="BC15" s="299">
        <f>IF('Flying Stars'!$V$64="","",'Flying Stars'!$V$64)</f>
      </c>
      <c r="BD15" s="299">
        <f>IF('Flying Stars'!$V$65="","",'Flying Stars'!$V$65)</f>
      </c>
      <c r="BE15" s="299">
        <f>IF('Flying Stars'!$V$66="","",'Flying Stars'!$V$66)</f>
      </c>
      <c r="BF15" s="299">
        <f>IF('Flying Stars'!$V$67="","",'Flying Stars'!$V$67)</f>
      </c>
      <c r="BG15" s="299">
        <f>IF('Flying Stars'!$V$68="","",'Flying Stars'!$V$68)</f>
      </c>
      <c r="BH15" s="300">
        <f>IF('Flying Stars'!$Z$64="","",'Flying Stars'!$Z$64)</f>
      </c>
      <c r="BI15" s="300">
        <f>IF('Flying Stars'!$Z$65="","",'Flying Stars'!$Z$65)</f>
      </c>
      <c r="BJ15" s="300">
        <f>IF('Flying Stars'!$Z$66="","",'Flying Stars'!$Z$66)</f>
      </c>
      <c r="BK15" s="300">
        <f>IF('Flying Stars'!$Z$67="","",'Flying Stars'!$Z$67)</f>
      </c>
      <c r="BL15" s="301">
        <f>IF('Flying Stars'!$Z$68="","",'Flying Stars'!$Z$68)</f>
      </c>
    </row>
    <row r="16" spans="1:64" s="190" customFormat="1" ht="18.75" customHeight="1" thickBot="1">
      <c r="A16" s="282"/>
      <c r="B16" s="619" t="s">
        <v>88</v>
      </c>
      <c r="C16" s="417">
        <f>VLOOKUP(C14,$O$10:$AQ$23,28,FALSE)</f>
        <v>3</v>
      </c>
      <c r="D16" s="620" t="str">
        <f>VLOOKUP(E17,$O$10:$AQ$23,4,FALSE)</f>
        <v>Fast'nFurious Flyballteam</v>
      </c>
      <c r="E16" s="621"/>
      <c r="F16" s="282"/>
      <c r="G16" s="444" t="s">
        <v>91</v>
      </c>
      <c r="H16" s="415"/>
      <c r="I16" s="282"/>
      <c r="J16" s="280"/>
      <c r="K16" s="280"/>
      <c r="M16" s="327" t="str">
        <f>N16&amp;uitslagen!$E$50</f>
        <v>4Rood</v>
      </c>
      <c r="N16" s="160">
        <v>4</v>
      </c>
      <c r="O16" s="328" t="s">
        <v>5</v>
      </c>
      <c r="P16" s="113" t="str">
        <f>"W"&amp;N16</f>
        <v>W4</v>
      </c>
      <c r="Q16" s="113" t="str">
        <f>IF(P16=AQ16&amp;N16,R16,IF(P16=AQ17&amp;N17,R17,""))</f>
        <v>BayernXpress I</v>
      </c>
      <c r="R16" s="113" t="str">
        <f t="shared" si="6"/>
        <v>Flying Stars</v>
      </c>
      <c r="S16" s="101" t="str">
        <f t="shared" si="0"/>
        <v>Flying Stars-4</v>
      </c>
      <c r="T16" s="102">
        <f t="shared" si="1"/>
        <v>20.74</v>
      </c>
      <c r="U16" s="103">
        <f t="shared" si="1"/>
        <v>20.63</v>
      </c>
      <c r="V16" s="103">
        <f t="shared" si="1"/>
        <v>20.72</v>
      </c>
      <c r="W16" s="103">
        <f t="shared" si="1"/>
        <v>20.95</v>
      </c>
      <c r="X16" s="104">
        <f t="shared" si="1"/>
        <v>20.4</v>
      </c>
      <c r="Y16" s="102" t="str">
        <f t="shared" si="1"/>
        <v>L</v>
      </c>
      <c r="Z16" s="103" t="str">
        <f t="shared" si="1"/>
        <v>W</v>
      </c>
      <c r="AA16" s="103" t="str">
        <f t="shared" si="1"/>
        <v>W</v>
      </c>
      <c r="AB16" s="103" t="str">
        <f t="shared" si="1"/>
        <v>L</v>
      </c>
      <c r="AC16" s="104" t="str">
        <f t="shared" si="1"/>
        <v>L</v>
      </c>
      <c r="AD16" s="105" t="str">
        <f>IF(T16="W","W",IF(T16="","",(IF(T16=T17,"T",IF(OR(T16="nt",T17="w"),"L",IF(T16&lt;T17,"W","L"))))))</f>
        <v>L</v>
      </c>
      <c r="AE16" s="105" t="str">
        <f>IF(U16="W","W",IF(U16="","",(IF(U16=U17,"T",IF(OR(U16="nt",U17="w"),"L",IF(U16&lt;U17,"W","L"))))))</f>
        <v>W</v>
      </c>
      <c r="AF16" s="105" t="str">
        <f>IF(V16="W","W",IF(V16="","",(IF(V16=V17,"T",IF(OR(V16="nt",V17="w"),"L",IF(V16&lt;V17,"W","L"))))))</f>
        <v>W</v>
      </c>
      <c r="AG16" s="106" t="str">
        <f>IF(W16="W","W",IF(W16="","",(IF(W16=W17,"T",IF(OR(W16="nt",W17="w"),"L",IF(W16&lt;W17,"W","L"))))))</f>
        <v>L</v>
      </c>
      <c r="AH16" s="107" t="str">
        <f>IF(X16="W","W",IF(X16="","",(IF(X16=X17,"T",IF(OR(X16="nt",X17="w"),"L",IF(X16&lt;X17,"W","L"))))))</f>
        <v>L</v>
      </c>
      <c r="AI16" s="108">
        <f>IF(Y17="","",IF(OR(AND(Y16=Y17,Y16&lt;&gt;"T"),Y16&lt;&gt;AD16,Y16=""),"x",""))</f>
      </c>
      <c r="AJ16" s="109">
        <f>IF(Z17="","",IF(OR(AND(Z16=Z17,Z16&lt;&gt;"T"),Z16&lt;&gt;AE16,Z16=""),"x",""))</f>
      </c>
      <c r="AK16" s="109">
        <f>IF(AA17="","",IF(OR(AND(AA16=AA17,AA16&lt;&gt;"T"),AA16&lt;&gt;AF16,AA16=""),"x",""))</f>
      </c>
      <c r="AL16" s="109">
        <f>IF(AB17="","",IF(OR(AND(AB16=AB17,AB16&lt;&gt;"T"),AB16&lt;&gt;AG16,AB16=""),"x",""))</f>
      </c>
      <c r="AM16" s="110">
        <f>IF(AC17="","",IF(OR(AND(AC16=AC17,AC16&lt;&gt;"T"),AC16&lt;&gt;AH16,AC16=""),"x",""))</f>
      </c>
      <c r="AN16" s="437">
        <f t="shared" si="2"/>
      </c>
      <c r="AO16" s="112">
        <f t="shared" si="4"/>
        <v>20.4</v>
      </c>
      <c r="AP16" s="113">
        <f t="shared" si="5"/>
        <v>2</v>
      </c>
      <c r="AQ16" s="114" t="str">
        <f>IF(COUNTIF(Y16:AC16,"w")=uitslagen!$H$49,"W",IF(COUNTIF(Y16:AC16,"L")=uitslagen!$H$49,"L",""))</f>
        <v>L</v>
      </c>
      <c r="AR16" s="114" t="str">
        <f>R17</f>
        <v>BayernXpress I</v>
      </c>
      <c r="AS16" s="328" t="s">
        <v>13</v>
      </c>
      <c r="AT16" s="111">
        <v>4</v>
      </c>
      <c r="AU16" s="2"/>
      <c r="AV16" s="328">
        <v>1</v>
      </c>
      <c r="AW16" s="329">
        <v>4</v>
      </c>
      <c r="AX16" s="329" t="str">
        <f t="shared" si="3"/>
        <v>1-4</v>
      </c>
      <c r="AY16" s="328">
        <v>5</v>
      </c>
      <c r="AZ16" s="413">
        <f>""</f>
      </c>
      <c r="BA16" s="99"/>
      <c r="BB16" s="298" t="str">
        <f>'Flying Stars'!$C$3&amp;"-"&amp;'Flying Stars'!$E$71</f>
        <v>Flying Stars-</v>
      </c>
      <c r="BC16" s="299">
        <f>IF('Flying Stars'!$V$71="","",'Flying Stars'!$V$71)</f>
      </c>
      <c r="BD16" s="299">
        <f>IF('Flying Stars'!$V$72="","",'Flying Stars'!$V$72)</f>
      </c>
      <c r="BE16" s="299">
        <f>IF('Flying Stars'!$V$73="","",'Flying Stars'!$V$73)</f>
      </c>
      <c r="BF16" s="299">
        <f>IF('Flying Stars'!$V$74="","",'Flying Stars'!$V$74)</f>
      </c>
      <c r="BG16" s="299">
        <f>IF('Flying Stars'!$V$75="","",'Flying Stars'!$V$75)</f>
      </c>
      <c r="BH16" s="300">
        <f>IF('Flying Stars'!$Z$71="","",'Flying Stars'!$Z$71)</f>
      </c>
      <c r="BI16" s="300">
        <f>IF('Flying Stars'!$Z$72="","",'Flying Stars'!$Z$72)</f>
      </c>
      <c r="BJ16" s="300">
        <f>IF('Flying Stars'!$Z$73="","",'Flying Stars'!$Z$73)</f>
      </c>
      <c r="BK16" s="300">
        <f>IF('Flying Stars'!$Z$74="","",'Flying Stars'!$Z$74)</f>
      </c>
      <c r="BL16" s="301">
        <f>IF('Flying Stars'!$Z$75="","",'Flying Stars'!$Z$75)</f>
      </c>
    </row>
    <row r="17" spans="1:64" s="190" customFormat="1" ht="18.75" customHeight="1" thickTop="1">
      <c r="A17" s="452"/>
      <c r="B17" s="619"/>
      <c r="C17" s="418">
        <f>VLOOKUP(C20,$O$10:$AQ$23,28,FALSE)</f>
        <v>0</v>
      </c>
      <c r="D17" s="421">
        <f>VLOOKUP(E17,$O$10:$AQ$23,27,FALSE)</f>
        <v>18.67</v>
      </c>
      <c r="E17" s="443" t="s">
        <v>90</v>
      </c>
      <c r="F17" s="282"/>
      <c r="G17" s="281">
        <f>VLOOKUP(G16,$O$10:$AQ$23,26,FALSE)</f>
      </c>
      <c r="H17" s="415"/>
      <c r="I17" s="282"/>
      <c r="J17" s="280"/>
      <c r="K17" s="280"/>
      <c r="M17" s="306" t="str">
        <f>N17&amp;uitslagen!$I$50</f>
        <v>4Blauw</v>
      </c>
      <c r="N17" s="307">
        <v>4</v>
      </c>
      <c r="O17" s="308" t="s">
        <v>7</v>
      </c>
      <c r="P17" s="309" t="str">
        <f>"L"&amp;N17</f>
        <v>L4</v>
      </c>
      <c r="Q17" s="309" t="str">
        <f>IF(P17=AQ17&amp;N17,R17,IF(P17=AQ16&amp;N16,R16,""))</f>
        <v>Flying Stars</v>
      </c>
      <c r="R17" s="309" t="str">
        <f t="shared" si="6"/>
        <v>BayernXpress I</v>
      </c>
      <c r="S17" s="310" t="str">
        <f t="shared" si="0"/>
        <v>BayernXpress I-4</v>
      </c>
      <c r="T17" s="311">
        <f t="shared" si="1"/>
        <v>19.98</v>
      </c>
      <c r="U17" s="312" t="str">
        <f t="shared" si="1"/>
        <v>NT</v>
      </c>
      <c r="V17" s="312" t="str">
        <f t="shared" si="1"/>
        <v>NT</v>
      </c>
      <c r="W17" s="312">
        <f t="shared" si="1"/>
        <v>20.06</v>
      </c>
      <c r="X17" s="313">
        <f t="shared" si="1"/>
        <v>20.14</v>
      </c>
      <c r="Y17" s="311" t="str">
        <f t="shared" si="1"/>
        <v>W</v>
      </c>
      <c r="Z17" s="312" t="str">
        <f t="shared" si="1"/>
        <v>L</v>
      </c>
      <c r="AA17" s="312" t="str">
        <f t="shared" si="1"/>
        <v>L</v>
      </c>
      <c r="AB17" s="312" t="str">
        <f t="shared" si="1"/>
        <v>W</v>
      </c>
      <c r="AC17" s="313" t="str">
        <f t="shared" si="1"/>
        <v>W</v>
      </c>
      <c r="AD17" s="314" t="str">
        <f>IF(T17="W","W",IF(T17="","",(IF(T17=T16,"T",IF(OR(T17="nt",T16="w"),"L",IF(T17&lt;T16,"W","L"))))))</f>
        <v>W</v>
      </c>
      <c r="AE17" s="314" t="str">
        <f>IF(U17="W","W",IF(U17="","",(IF(U17=U16,"T",IF(OR(U17="nt",U16="w"),"L",IF(U17&lt;U16,"W","L"))))))</f>
        <v>L</v>
      </c>
      <c r="AF17" s="314" t="str">
        <f>IF(V17="W","W",IF(V17="","",(IF(V17=V16,"T",IF(OR(V17="nt",V16="w"),"L",IF(V17&lt;V16,"W","L"))))))</f>
        <v>L</v>
      </c>
      <c r="AG17" s="314" t="str">
        <f>IF(W17="W","W",IF(W17="","",(IF(W17=W16,"T",IF(OR(W17="nt",W16="w"),"L",IF(W17&lt;W16,"W","L"))))))</f>
        <v>W</v>
      </c>
      <c r="AH17" s="315" t="str">
        <f>IF(X17="W","W",IF(X17="","",(IF(X17=X16,"T",IF(OR(X17="nt",X16="w"),"L",IF(X17&lt;X16,"W","L"))))))</f>
        <v>W</v>
      </c>
      <c r="AI17" s="316">
        <f>IF(Y16="","",IF(OR(AND(Y17=Y16,Y17&lt;&gt;"T"),Y17&lt;&gt;AD17,Y17=""),"x",""))</f>
      </c>
      <c r="AJ17" s="320">
        <f>IF(Z16="","",IF(OR(AND(Z17=Z16,Z17&lt;&gt;"T"),Z17&lt;&gt;AE17,Z17=""),"x",""))</f>
      </c>
      <c r="AK17" s="320">
        <f>IF(AA16="","",IF(OR(AND(AA17=AA16,AA17&lt;&gt;"T"),AA17&lt;&gt;AF17,AA17=""),"x",""))</f>
      </c>
      <c r="AL17" s="320">
        <f>IF(AB16="","",IF(OR(AND(AB17=AB16,AB17&lt;&gt;"T"),AB17&lt;&gt;AG17,AB17=""),"x",""))</f>
      </c>
      <c r="AM17" s="321">
        <f>IF(AC16="","",IF(OR(AND(AC17=AC16,AC17&lt;&gt;"T"),AC17&lt;&gt;AH17,AC17=""),"x",""))</f>
      </c>
      <c r="AN17" s="322">
        <f t="shared" si="2"/>
      </c>
      <c r="AO17" s="318">
        <f t="shared" si="4"/>
        <v>19.98</v>
      </c>
      <c r="AP17" s="309">
        <f t="shared" si="5"/>
        <v>3</v>
      </c>
      <c r="AQ17" s="319" t="str">
        <f>IF(COUNTIF(Y17:AC17,"w")=uitslagen!$H$49,"W",IF(COUNTIF(Y17:AC17,"L")=uitslagen!$H$49,"L",""))</f>
        <v>W</v>
      </c>
      <c r="AR17" s="319" t="str">
        <f>R16</f>
        <v>Flying Stars</v>
      </c>
      <c r="AS17" s="308" t="s">
        <v>14</v>
      </c>
      <c r="AT17" s="317">
        <v>4</v>
      </c>
      <c r="AU17" s="2"/>
      <c r="AV17" s="308">
        <v>2</v>
      </c>
      <c r="AW17" s="300">
        <v>4</v>
      </c>
      <c r="AX17" s="300" t="str">
        <f t="shared" si="3"/>
        <v>2-4</v>
      </c>
      <c r="AY17" s="308">
        <v>5</v>
      </c>
      <c r="AZ17" s="413">
        <f>""</f>
      </c>
      <c r="BA17" s="99"/>
      <c r="BB17" s="294" t="str">
        <f>'Fast''nFurious Flyballteam'!$C$3&amp;"-"&amp;'Fast''nFurious Flyballteam'!$E$43</f>
        <v>Fast'nFurious Flyballteam-2</v>
      </c>
      <c r="BC17" s="295">
        <f>IF('Fast''nFurious Flyballteam'!$V$43="","",'Fast''nFurious Flyballteam'!$V$43)</f>
        <v>19.24</v>
      </c>
      <c r="BD17" s="295">
        <f>IF('Fast''nFurious Flyballteam'!$V$44="","",'Fast''nFurious Flyballteam'!$V$44)</f>
        <v>26.83</v>
      </c>
      <c r="BE17" s="295">
        <f>IF('Fast''nFurious Flyballteam'!$V$45="","",'Fast''nFurious Flyballteam'!$V$45)</f>
        <v>36.64</v>
      </c>
      <c r="BF17" s="295">
        <f>IF('Fast''nFurious Flyballteam'!$V$46="","",'Fast''nFurious Flyballteam'!$V$46)</f>
      </c>
      <c r="BG17" s="295">
        <f>IF('Fast''nFurious Flyballteam'!$V$47="","",'Fast''nFurious Flyballteam'!$V$47)</f>
      </c>
      <c r="BH17" s="296" t="str">
        <f>IF('Fast''nFurious Flyballteam'!$Z$43="","",'Fast''nFurious Flyballteam'!$Z$43)</f>
        <v>W</v>
      </c>
      <c r="BI17" s="296" t="str">
        <f>IF('Fast''nFurious Flyballteam'!$Z$44="","",'Fast''nFurious Flyballteam'!$Z$44)</f>
        <v>W</v>
      </c>
      <c r="BJ17" s="296" t="str">
        <f>IF('Fast''nFurious Flyballteam'!$Z$45="","",'Fast''nFurious Flyballteam'!$Z$45)</f>
        <v>W</v>
      </c>
      <c r="BK17" s="296">
        <f>IF('Fast''nFurious Flyballteam'!$Z$46="","",'Fast''nFurious Flyballteam'!$Z$46)</f>
      </c>
      <c r="BL17" s="297">
        <f>IF('Fast''nFurious Flyballteam'!$Z$47="","",'Fast''nFurious Flyballteam'!$Z$47)</f>
      </c>
    </row>
    <row r="18" spans="1:64" s="190" customFormat="1" ht="18.75" customHeight="1" thickBot="1">
      <c r="A18" s="282"/>
      <c r="B18" s="282"/>
      <c r="C18" s="286">
        <f>VLOOKUP(C20,$O$10:$AQ$23,26,FALSE)</f>
      </c>
      <c r="D18" s="420"/>
      <c r="E18" s="282"/>
      <c r="F18" s="619" t="s">
        <v>10</v>
      </c>
      <c r="G18" s="417">
        <f>VLOOKUP(G16,$O$10:$AQ$23,28,FALSE)</f>
        <v>3</v>
      </c>
      <c r="H18" s="369"/>
      <c r="I18" s="625">
        <f>VLOOKUP(J19,$O$10:$AQ$23,4,FALSE)</f>
      </c>
      <c r="J18" s="625"/>
      <c r="K18" s="280"/>
      <c r="M18" s="327" t="str">
        <f>N18&amp;uitslagen!$E$50</f>
        <v>5Rood</v>
      </c>
      <c r="N18" s="160">
        <v>5</v>
      </c>
      <c r="O18" s="328" t="s">
        <v>99</v>
      </c>
      <c r="P18" s="113" t="str">
        <f>"W"&amp;N18</f>
        <v>W5</v>
      </c>
      <c r="Q18" s="113" t="str">
        <f>IF(P18=AQ18&amp;N18,R18,IF(P18=AQ19&amp;N19,R19,""))</f>
        <v>BayernXpress I</v>
      </c>
      <c r="R18" s="113" t="str">
        <f t="shared" si="6"/>
        <v>Fast'nFurious Flyballteam</v>
      </c>
      <c r="S18" s="101" t="str">
        <f t="shared" si="0"/>
        <v>Fast'nFurious Flyballteam-5</v>
      </c>
      <c r="T18" s="102">
        <f t="shared" si="1"/>
        <v>20.24</v>
      </c>
      <c r="U18" s="103">
        <f t="shared" si="1"/>
        <v>20.7</v>
      </c>
      <c r="V18" s="103">
        <f t="shared" si="1"/>
        <v>19.68</v>
      </c>
      <c r="W18" s="103">
        <f t="shared" si="1"/>
        <v>32.7</v>
      </c>
      <c r="X18" s="104" t="str">
        <f t="shared" si="1"/>
        <v>NT</v>
      </c>
      <c r="Y18" s="102" t="str">
        <f t="shared" si="1"/>
        <v>L</v>
      </c>
      <c r="Z18" s="103" t="str">
        <f t="shared" si="1"/>
        <v>W</v>
      </c>
      <c r="AA18" s="103" t="str">
        <f t="shared" si="1"/>
        <v>W</v>
      </c>
      <c r="AB18" s="103" t="str">
        <f t="shared" si="1"/>
        <v>L</v>
      </c>
      <c r="AC18" s="104" t="str">
        <f t="shared" si="1"/>
        <v>L</v>
      </c>
      <c r="AD18" s="105" t="str">
        <f>IF(T18="W","W",IF(T18="","",(IF(T18=T19,"T",IF(OR(T18="nt",T19="w"),"L",IF(T18&lt;T19,"W","L"))))))</f>
        <v>L</v>
      </c>
      <c r="AE18" s="105" t="str">
        <f>IF(U18="W","W",IF(U18="","",(IF(U18=U19,"T",IF(OR(U18="nt",U19="w"),"L",IF(U18&lt;U19,"W","L"))))))</f>
        <v>W</v>
      </c>
      <c r="AF18" s="105" t="str">
        <f>IF(V18="W","W",IF(V18="","",(IF(V18=V19,"T",IF(OR(V18="nt",V19="w"),"L",IF(V18&lt;V19,"W","L"))))))</f>
        <v>W</v>
      </c>
      <c r="AG18" s="106" t="str">
        <f>IF(W18="W","W",IF(W18="","",(IF(W18=W19,"T",IF(OR(W18="nt",W19="w"),"L",IF(W18&lt;W19,"W","L"))))))</f>
        <v>L</v>
      </c>
      <c r="AH18" s="107" t="str">
        <f>IF(X18="W","W",IF(X18="","",(IF(X18=X19,"T",IF(OR(X18="nt",X19="w"),"L",IF(X18&lt;X19,"W","L"))))))</f>
        <v>L</v>
      </c>
      <c r="AI18" s="108">
        <f>IF(Y19="","",IF(OR(AND(Y18=Y19,Y18&lt;&gt;"T"),Y18&lt;&gt;AD18,Y18=""),"x",""))</f>
      </c>
      <c r="AJ18" s="109">
        <f>IF(Z19="","",IF(OR(AND(Z18=Z19,Z18&lt;&gt;"T"),Z18&lt;&gt;AE18,Z18=""),"x",""))</f>
      </c>
      <c r="AK18" s="109">
        <f>IF(AA19="","",IF(OR(AND(AA18=AA19,AA18&lt;&gt;"T"),AA18&lt;&gt;AF18,AA18=""),"x",""))</f>
      </c>
      <c r="AL18" s="109">
        <f>IF(AB19="","",IF(OR(AND(AB18=AB19,AB18&lt;&gt;"T"),AB18&lt;&gt;AG18,AB18=""),"x",""))</f>
      </c>
      <c r="AM18" s="110">
        <f>IF(AC19="","",IF(OR(AND(AC18=AC19,AC18&lt;&gt;"T"),AC18&lt;&gt;AH18,AC18=""),"x",""))</f>
      </c>
      <c r="AN18" s="437">
        <f t="shared" si="2"/>
      </c>
      <c r="AO18" s="112">
        <f t="shared" si="4"/>
        <v>19.68</v>
      </c>
      <c r="AP18" s="113">
        <f t="shared" si="5"/>
        <v>2</v>
      </c>
      <c r="AQ18" s="114" t="str">
        <f>IF(COUNTIF(Y18:AC18,"w")=uitslagen!$H$49,"W",IF(COUNTIF(Y18:AC18,"L")=uitslagen!$H$49,"L",""))</f>
        <v>L</v>
      </c>
      <c r="AR18" s="114" t="str">
        <f>R19</f>
        <v>BayernXpress I</v>
      </c>
      <c r="AS18" s="328" t="s">
        <v>13</v>
      </c>
      <c r="AT18" s="111">
        <v>5</v>
      </c>
      <c r="AU18" s="2"/>
      <c r="AV18" s="328">
        <v>3</v>
      </c>
      <c r="AW18" s="329">
        <v>5</v>
      </c>
      <c r="AX18" s="329" t="str">
        <f t="shared" si="3"/>
        <v>3-5</v>
      </c>
      <c r="AY18" s="328">
        <v>6</v>
      </c>
      <c r="AZ18" s="413">
        <f>""</f>
      </c>
      <c r="BA18" s="99"/>
      <c r="BB18" s="298" t="str">
        <f>'Fast''nFurious Flyballteam'!$C$3&amp;"-"&amp;'Fast''nFurious Flyballteam'!$E$50</f>
        <v>Fast'nFurious Flyballteam-3</v>
      </c>
      <c r="BC18" s="299">
        <f>IF('Fast''nFurious Flyballteam'!$V$50="","",'Fast''nFurious Flyballteam'!$V$50)</f>
        <v>18.67</v>
      </c>
      <c r="BD18" s="299" t="str">
        <f>IF('Fast''nFurious Flyballteam'!$V$51="","",'Fast''nFurious Flyballteam'!$V$51)</f>
        <v>NT</v>
      </c>
      <c r="BE18" s="299">
        <f>IF('Fast''nFurious Flyballteam'!$V$52="","",'Fast''nFurious Flyballteam'!$V$52)</f>
        <v>18.87</v>
      </c>
      <c r="BF18" s="299">
        <f>IF('Fast''nFurious Flyballteam'!$V$53="","",'Fast''nFurious Flyballteam'!$V$53)</f>
        <v>19</v>
      </c>
      <c r="BG18" s="299" t="str">
        <f>IF('Fast''nFurious Flyballteam'!$V$54="","",'Fast''nFurious Flyballteam'!$V$54)</f>
        <v>NT</v>
      </c>
      <c r="BH18" s="300" t="str">
        <f>IF('Fast''nFurious Flyballteam'!$Z$50="","",'Fast''nFurious Flyballteam'!$Z$50)</f>
        <v>W</v>
      </c>
      <c r="BI18" s="300" t="str">
        <f>IF('Fast''nFurious Flyballteam'!$Z$51="","",'Fast''nFurious Flyballteam'!$Z$51)</f>
        <v>l</v>
      </c>
      <c r="BJ18" s="300" t="str">
        <f>IF('Fast''nFurious Flyballteam'!$Z$52="","",'Fast''nFurious Flyballteam'!$Z$52)</f>
        <v>W</v>
      </c>
      <c r="BK18" s="300" t="str">
        <f>IF('Fast''nFurious Flyballteam'!$Z$53="","",'Fast''nFurious Flyballteam'!$Z$53)</f>
        <v>L</v>
      </c>
      <c r="BL18" s="301" t="str">
        <f>IF('Fast''nFurious Flyballteam'!$Z$54="","",'Fast''nFurious Flyballteam'!$Z$54)</f>
        <v>L</v>
      </c>
    </row>
    <row r="19" spans="1:64" s="190" customFormat="1" ht="18.75" customHeight="1" thickBot="1" thickTop="1">
      <c r="A19" s="626" t="s">
        <v>89</v>
      </c>
      <c r="B19" s="627" t="str">
        <f>VLOOKUP(C20,$O$10:$AQ$23,4,FALSE)</f>
        <v>BayernXpress I</v>
      </c>
      <c r="C19" s="621"/>
      <c r="D19" s="420"/>
      <c r="E19" s="282"/>
      <c r="F19" s="619"/>
      <c r="G19" s="418">
        <f>VLOOKUP(G22,$O$10:$AQ$23,28,FALSE)</f>
        <v>0</v>
      </c>
      <c r="H19" s="446"/>
      <c r="I19" s="279">
        <f>VLOOKUP(J19,$O$10:$AQ$23,27,FALSE)</f>
      </c>
      <c r="J19" s="438" t="s">
        <v>98</v>
      </c>
      <c r="K19" s="430"/>
      <c r="M19" s="306" t="str">
        <f>N19&amp;uitslagen!$I$50</f>
        <v>5Blauw</v>
      </c>
      <c r="N19" s="307">
        <v>5</v>
      </c>
      <c r="O19" s="308" t="s">
        <v>97</v>
      </c>
      <c r="P19" s="309" t="str">
        <f>"L"&amp;N19</f>
        <v>L5</v>
      </c>
      <c r="Q19" s="309" t="str">
        <f>IF(P19=AQ19&amp;N19,R19,IF(P19=AQ18&amp;N18,R18,""))</f>
        <v>Fast'nFurious Flyballteam</v>
      </c>
      <c r="R19" s="309" t="str">
        <f t="shared" si="6"/>
        <v>BayernXpress I</v>
      </c>
      <c r="S19" s="310" t="str">
        <f t="shared" si="0"/>
        <v>BayernXpress I-5</v>
      </c>
      <c r="T19" s="311">
        <f t="shared" si="1"/>
        <v>20.03</v>
      </c>
      <c r="U19" s="312">
        <f t="shared" si="1"/>
        <v>20.81</v>
      </c>
      <c r="V19" s="312" t="str">
        <f t="shared" si="1"/>
        <v>NT</v>
      </c>
      <c r="W19" s="312">
        <f t="shared" si="1"/>
        <v>26.89</v>
      </c>
      <c r="X19" s="313">
        <f t="shared" si="1"/>
        <v>20.73</v>
      </c>
      <c r="Y19" s="311" t="str">
        <f t="shared" si="1"/>
        <v>W</v>
      </c>
      <c r="Z19" s="312" t="str">
        <f t="shared" si="1"/>
        <v>L</v>
      </c>
      <c r="AA19" s="312" t="str">
        <f t="shared" si="1"/>
        <v>L</v>
      </c>
      <c r="AB19" s="312" t="str">
        <f t="shared" si="1"/>
        <v>W</v>
      </c>
      <c r="AC19" s="313" t="str">
        <f t="shared" si="1"/>
        <v>W</v>
      </c>
      <c r="AD19" s="314" t="str">
        <f>IF(T19="W","W",IF(T19="","",(IF(T19=T18,"T",IF(OR(T19="nt",T18="w"),"L",IF(T19&lt;T18,"W","L"))))))</f>
        <v>W</v>
      </c>
      <c r="AE19" s="314" t="str">
        <f>IF(U19="W","W",IF(U19="","",(IF(U19=U18,"T",IF(OR(U19="nt",U18="w"),"L",IF(U19&lt;U18,"W","L"))))))</f>
        <v>L</v>
      </c>
      <c r="AF19" s="314" t="str">
        <f>IF(V19="W","W",IF(V19="","",(IF(V19=V18,"T",IF(OR(V19="nt",V18="w"),"L",IF(V19&lt;V18,"W","L"))))))</f>
        <v>L</v>
      </c>
      <c r="AG19" s="314" t="str">
        <f>IF(W19="W","W",IF(W19="","",(IF(W19=W18,"T",IF(OR(W19="nt",W18="w"),"L",IF(W19&lt;W18,"W","L"))))))</f>
        <v>W</v>
      </c>
      <c r="AH19" s="315" t="str">
        <f>IF(X19="W","W",IF(X19="","",(IF(X19=X18,"T",IF(OR(X19="nt",X18="w"),"L",IF(X19&lt;X18,"W","L"))))))</f>
        <v>W</v>
      </c>
      <c r="AI19" s="316">
        <f>IF(Y18="","",IF(OR(AND(Y19=Y18,Y19&lt;&gt;"T"),Y19&lt;&gt;AD19,Y19=""),"x",""))</f>
      </c>
      <c r="AJ19" s="320">
        <f>IF(Z18="","",IF(OR(AND(Z19=Z18,Z19&lt;&gt;"T"),Z19&lt;&gt;AE19,Z19=""),"x",""))</f>
      </c>
      <c r="AK19" s="320">
        <f>IF(AA18="","",IF(OR(AND(AA19=AA18,AA19&lt;&gt;"T"),AA19&lt;&gt;AF19,AA19=""),"x",""))</f>
      </c>
      <c r="AL19" s="320">
        <f>IF(AB18="","",IF(OR(AND(AB19=AB18,AB19&lt;&gt;"T"),AB19&lt;&gt;AG19,AB19=""),"x",""))</f>
      </c>
      <c r="AM19" s="321">
        <f>IF(AC18="","",IF(OR(AND(AC19=AC18,AC19&lt;&gt;"T"),AC19&lt;&gt;AH19,AC19=""),"x",""))</f>
      </c>
      <c r="AN19" s="322">
        <f t="shared" si="2"/>
      </c>
      <c r="AO19" s="318">
        <f t="shared" si="4"/>
        <v>20.03</v>
      </c>
      <c r="AP19" s="309">
        <f t="shared" si="5"/>
        <v>3</v>
      </c>
      <c r="AQ19" s="319" t="str">
        <f>IF(COUNTIF(Y19:AC19,"w")=uitslagen!$H$49,"W",IF(COUNTIF(Y19:AC19,"L")=uitslagen!$H$49,"L",""))</f>
        <v>W</v>
      </c>
      <c r="AR19" s="319" t="str">
        <f>R18</f>
        <v>Fast'nFurious Flyballteam</v>
      </c>
      <c r="AS19" s="308" t="s">
        <v>14</v>
      </c>
      <c r="AT19" s="317">
        <v>5</v>
      </c>
      <c r="AU19" s="2"/>
      <c r="AV19" s="308">
        <v>4</v>
      </c>
      <c r="AW19" s="300">
        <v>5</v>
      </c>
      <c r="AX19" s="300" t="str">
        <f t="shared" si="3"/>
        <v>4-5</v>
      </c>
      <c r="AY19" s="308">
        <v>6</v>
      </c>
      <c r="AZ19" s="413">
        <f>""</f>
      </c>
      <c r="BA19" s="99"/>
      <c r="BB19" s="298" t="str">
        <f>'Fast''nFurious Flyballteam'!$C$3&amp;"-"&amp;'Fast''nFurious Flyballteam'!$E$57</f>
        <v>Fast'nFurious Flyballteam-5</v>
      </c>
      <c r="BC19" s="299">
        <f>IF('Fast''nFurious Flyballteam'!$V$57="","",'Fast''nFurious Flyballteam'!$V$57)</f>
        <v>20.24</v>
      </c>
      <c r="BD19" s="299">
        <f>IF('Fast''nFurious Flyballteam'!$V$58="","",'Fast''nFurious Flyballteam'!$V$58)</f>
        <v>20.7</v>
      </c>
      <c r="BE19" s="299">
        <f>IF('Fast''nFurious Flyballteam'!$V$59="","",'Fast''nFurious Flyballteam'!$V$59)</f>
        <v>19.68</v>
      </c>
      <c r="BF19" s="299">
        <f>IF('Fast''nFurious Flyballteam'!$V$60="","",'Fast''nFurious Flyballteam'!$V$60)</f>
        <v>32.7</v>
      </c>
      <c r="BG19" s="299" t="str">
        <f>IF('Fast''nFurious Flyballteam'!$V$61="","",'Fast''nFurious Flyballteam'!$V$61)</f>
        <v>NT</v>
      </c>
      <c r="BH19" s="300" t="str">
        <f>IF('Fast''nFurious Flyballteam'!$Z$57="","",'Fast''nFurious Flyballteam'!$Z$57)</f>
        <v>L</v>
      </c>
      <c r="BI19" s="300" t="str">
        <f>IF('Fast''nFurious Flyballteam'!$Z$58="","",'Fast''nFurious Flyballteam'!$Z$58)</f>
        <v>W</v>
      </c>
      <c r="BJ19" s="300" t="str">
        <f>IF('Fast''nFurious Flyballteam'!$Z$59="","",'Fast''nFurious Flyballteam'!$Z$59)</f>
        <v>W</v>
      </c>
      <c r="BK19" s="300" t="str">
        <f>IF('Fast''nFurious Flyballteam'!$Z$60="","",'Fast''nFurious Flyballteam'!$Z$60)</f>
        <v>L</v>
      </c>
      <c r="BL19" s="301" t="str">
        <f>IF('Fast''nFurious Flyballteam'!$Z$61="","",'Fast''nFurious Flyballteam'!$Z$61)</f>
        <v>L</v>
      </c>
    </row>
    <row r="20" spans="1:64" s="190" customFormat="1" ht="18.75" customHeight="1" thickTop="1">
      <c r="A20" s="626"/>
      <c r="B20" s="288" t="str">
        <f>VLOOKUP(C20,$O$10:$AQ$23,27,FALSE)</f>
        <v>NT</v>
      </c>
      <c r="C20" s="443" t="s">
        <v>0</v>
      </c>
      <c r="D20" s="282"/>
      <c r="E20" s="282"/>
      <c r="F20" s="282" t="str">
        <f>VLOOKUP("FINALE",'[1]Strings'!$A$3:$K$102,'[1]Strings'!$A$1,FALSE)</f>
        <v>Finale</v>
      </c>
      <c r="G20" s="286">
        <f>VLOOKUP(G22,$O$10:$AQ$23,26,FALSE)</f>
      </c>
      <c r="H20" s="420"/>
      <c r="I20" s="282"/>
      <c r="J20" s="440" t="s">
        <v>98</v>
      </c>
      <c r="K20" s="430"/>
      <c r="M20" s="327" t="str">
        <f>N20&amp;uitslagen!$E$50</f>
        <v>6Rood</v>
      </c>
      <c r="N20" s="160">
        <v>6</v>
      </c>
      <c r="O20" s="328" t="s">
        <v>91</v>
      </c>
      <c r="P20" s="113" t="str">
        <f>"W"&amp;N20</f>
        <v>W6</v>
      </c>
      <c r="Q20" s="113" t="str">
        <f>IF(P20=AQ20&amp;N20,R20,IF(P20=AQ21&amp;N21,R21,""))</f>
        <v>Cool Racers</v>
      </c>
      <c r="R20" s="113" t="str">
        <f t="shared" si="6"/>
        <v>Cool Racers</v>
      </c>
      <c r="S20" s="101" t="str">
        <f t="shared" si="0"/>
        <v>Cool Racers-6</v>
      </c>
      <c r="T20" s="102">
        <f t="shared" si="1"/>
        <v>18.92</v>
      </c>
      <c r="U20" s="103">
        <f t="shared" si="1"/>
        <v>18.74</v>
      </c>
      <c r="V20" s="103">
        <f t="shared" si="1"/>
        <v>18.77</v>
      </c>
      <c r="W20" s="103">
        <f t="shared" si="1"/>
      </c>
      <c r="X20" s="104">
        <f t="shared" si="1"/>
      </c>
      <c r="Y20" s="102" t="str">
        <f t="shared" si="1"/>
        <v>W</v>
      </c>
      <c r="Z20" s="103" t="str">
        <f t="shared" si="1"/>
        <v>W</v>
      </c>
      <c r="AA20" s="103" t="str">
        <f t="shared" si="1"/>
        <v>W</v>
      </c>
      <c r="AB20" s="103">
        <f t="shared" si="1"/>
      </c>
      <c r="AC20" s="104">
        <f t="shared" si="1"/>
      </c>
      <c r="AD20" s="105" t="str">
        <f>IF(T20="W","W",IF(T20="","",(IF(T20=T21,"T",IF(OR(T20="nt",T21="w"),"L",IF(T20&lt;T21,"W","L"))))))</f>
        <v>W</v>
      </c>
      <c r="AE20" s="105" t="str">
        <f>IF(U20="W","W",IF(U20="","",(IF(U20=U21,"T",IF(OR(U20="nt",U21="w"),"L",IF(U20&lt;U21,"W","L"))))))</f>
        <v>W</v>
      </c>
      <c r="AF20" s="105" t="str">
        <f>IF(V20="W","W",IF(V20="","",(IF(V20=V21,"T",IF(OR(V20="nt",V21="w"),"L",IF(V20&lt;V21,"W","L"))))))</f>
        <v>W</v>
      </c>
      <c r="AG20" s="106">
        <f>IF(W20="W","W",IF(W20="","",(IF(W20=W21,"T",IF(OR(W20="nt",W21="w"),"L",IF(W20&lt;W21,"W","L"))))))</f>
      </c>
      <c r="AH20" s="107">
        <f>IF(X20="W","W",IF(X20="","",(IF(X20=X21,"T",IF(OR(X20="nt",X21="w"),"L",IF(X20&lt;X21,"W","L"))))))</f>
      </c>
      <c r="AI20" s="108">
        <f>IF(Y21="","",IF(OR(AND(Y20=Y21,Y20&lt;&gt;"T"),Y20&lt;&gt;AD20,Y20=""),"x",""))</f>
      </c>
      <c r="AJ20" s="109">
        <f>IF(Z21="","",IF(OR(AND(Z20=Z21,Z20&lt;&gt;"T"),Z20&lt;&gt;AE20,Z20=""),"x",""))</f>
      </c>
      <c r="AK20" s="109">
        <f>IF(AA21="","",IF(OR(AND(AA20=AA21,AA20&lt;&gt;"T"),AA20&lt;&gt;AF20,AA20=""),"x",""))</f>
      </c>
      <c r="AL20" s="109">
        <f>IF(AB21="","",IF(OR(AND(AB20=AB21,AB20&lt;&gt;"T"),AB20&lt;&gt;AG20,AB20=""),"x",""))</f>
      </c>
      <c r="AM20" s="110">
        <f>IF(AC21="","",IF(OR(AND(AC20=AC21,AC20&lt;&gt;"T"),AC20&lt;&gt;AH20,AC20=""),"x",""))</f>
      </c>
      <c r="AN20" s="437">
        <f t="shared" si="2"/>
      </c>
      <c r="AO20" s="112">
        <f t="shared" si="4"/>
        <v>18.74</v>
      </c>
      <c r="AP20" s="113">
        <f t="shared" si="5"/>
        <v>3</v>
      </c>
      <c r="AQ20" s="114" t="str">
        <f>IF(COUNTIF(Y20:AC20,"w")=uitslagen!$H$49,"W",IF(COUNTIF(Y20:AC20,"L")=uitslagen!$H$49,"L",""))</f>
        <v>W</v>
      </c>
      <c r="AR20" s="114" t="str">
        <f>R21</f>
        <v>BayernXpress I</v>
      </c>
      <c r="AS20" s="328" t="s">
        <v>13</v>
      </c>
      <c r="AT20" s="111">
        <v>6</v>
      </c>
      <c r="AU20" s="2"/>
      <c r="AV20" s="328">
        <v>3</v>
      </c>
      <c r="AW20" s="329">
        <v>6</v>
      </c>
      <c r="AX20" s="329" t="str">
        <f t="shared" si="3"/>
        <v>3-6</v>
      </c>
      <c r="AY20" s="413">
        <f>""</f>
      </c>
      <c r="AZ20" s="413">
        <v>7</v>
      </c>
      <c r="BA20" s="99"/>
      <c r="BB20" s="298" t="str">
        <f>'Fast''nFurious Flyballteam'!$C$3&amp;"-"&amp;'Fast''nFurious Flyballteam'!$E$64</f>
        <v>Fast'nFurious Flyballteam-</v>
      </c>
      <c r="BC20" s="299">
        <f>IF('Fast''nFurious Flyballteam'!$V$64="","",'Fast''nFurious Flyballteam'!$V$64)</f>
      </c>
      <c r="BD20" s="299">
        <f>IF('Fast''nFurious Flyballteam'!$V$65="","",'Fast''nFurious Flyballteam'!$V$65)</f>
      </c>
      <c r="BE20" s="299">
        <f>IF('Fast''nFurious Flyballteam'!$V$66="","",'Fast''nFurious Flyballteam'!$V$66)</f>
      </c>
      <c r="BF20" s="299">
        <f>IF('Fast''nFurious Flyballteam'!$V$67="","",'Fast''nFurious Flyballteam'!$V$67)</f>
      </c>
      <c r="BG20" s="299">
        <f>IF('Fast''nFurious Flyballteam'!$V$68="","",'Fast''nFurious Flyballteam'!$V$68)</f>
      </c>
      <c r="BH20" s="300">
        <f>IF('Fast''nFurious Flyballteam'!$Z$64="","",'Fast''nFurious Flyballteam'!$Z$64)</f>
      </c>
      <c r="BI20" s="300">
        <f>IF('Fast''nFurious Flyballteam'!$Z$65="","",'Fast''nFurious Flyballteam'!$Z$65)</f>
      </c>
      <c r="BJ20" s="300">
        <f>IF('Fast''nFurious Flyballteam'!$Z$66="","",'Fast''nFurious Flyballteam'!$Z$66)</f>
      </c>
      <c r="BK20" s="300">
        <f>IF('Fast''nFurious Flyballteam'!$Z$67="","",'Fast''nFurious Flyballteam'!$Z$67)</f>
      </c>
      <c r="BL20" s="301">
        <f>IF('Fast''nFurious Flyballteam'!$Z$68="","",'Fast''nFurious Flyballteam'!$Z$68)</f>
      </c>
    </row>
    <row r="21" spans="1:64" s="190" customFormat="1" ht="18.75" customHeight="1">
      <c r="A21" s="282"/>
      <c r="B21" s="282"/>
      <c r="C21" s="282"/>
      <c r="D21" s="282"/>
      <c r="E21" s="282"/>
      <c r="F21" s="282"/>
      <c r="G21" s="419"/>
      <c r="H21" s="420"/>
      <c r="I21" s="282"/>
      <c r="J21" s="431">
        <f>VLOOKUP(J20,$O$10:$AQ$23,26,FALSE)</f>
      </c>
      <c r="K21" s="430"/>
      <c r="M21" s="306" t="str">
        <f>N21&amp;uitslagen!$I$50</f>
        <v>6Blauw</v>
      </c>
      <c r="N21" s="307">
        <v>6</v>
      </c>
      <c r="O21" s="308" t="s">
        <v>93</v>
      </c>
      <c r="P21" s="309" t="str">
        <f>"L"&amp;N21</f>
        <v>L6</v>
      </c>
      <c r="Q21" s="309" t="str">
        <f>IF(P21=AQ21&amp;N21,R21,IF(P21=AQ20&amp;N20,R20,""))</f>
        <v>BayernXpress I</v>
      </c>
      <c r="R21" s="309" t="str">
        <f t="shared" si="6"/>
        <v>BayernXpress I</v>
      </c>
      <c r="S21" s="310" t="str">
        <f t="shared" si="0"/>
        <v>BayernXpress I-6</v>
      </c>
      <c r="T21" s="311">
        <f t="shared" si="1"/>
        <v>20.18</v>
      </c>
      <c r="U21" s="312">
        <f t="shared" si="1"/>
        <v>19.65</v>
      </c>
      <c r="V21" s="312">
        <f t="shared" si="1"/>
        <v>20.1</v>
      </c>
      <c r="W21" s="312">
        <f t="shared" si="1"/>
      </c>
      <c r="X21" s="313">
        <f t="shared" si="1"/>
      </c>
      <c r="Y21" s="311" t="str">
        <f t="shared" si="1"/>
        <v>L</v>
      </c>
      <c r="Z21" s="312" t="str">
        <f t="shared" si="1"/>
        <v>L</v>
      </c>
      <c r="AA21" s="312" t="str">
        <f t="shared" si="1"/>
        <v>L</v>
      </c>
      <c r="AB21" s="312">
        <f t="shared" si="1"/>
      </c>
      <c r="AC21" s="313">
        <f t="shared" si="1"/>
      </c>
      <c r="AD21" s="314" t="str">
        <f>IF(T21="W","W",IF(T21="","",(IF(T21=T20,"T",IF(OR(T21="nt",T20="w"),"L",IF(T21&lt;T20,"W","L"))))))</f>
        <v>L</v>
      </c>
      <c r="AE21" s="314" t="str">
        <f>IF(U21="W","W",IF(U21="","",(IF(U21=U20,"T",IF(OR(U21="nt",U20="w"),"L",IF(U21&lt;U20,"W","L"))))))</f>
        <v>L</v>
      </c>
      <c r="AF21" s="314" t="str">
        <f>IF(V21="W","W",IF(V21="","",(IF(V21=V20,"T",IF(OR(V21="nt",V20="w"),"L",IF(V21&lt;V20,"W","L"))))))</f>
        <v>L</v>
      </c>
      <c r="AG21" s="314">
        <f>IF(W21="W","W",IF(W21="","",(IF(W21=W20,"T",IF(OR(W21="nt",W20="w"),"L",IF(W21&lt;W20,"W","L"))))))</f>
      </c>
      <c r="AH21" s="315">
        <f>IF(X21="W","W",IF(X21="","",(IF(X21=X20,"T",IF(OR(X21="nt",X20="w"),"L",IF(X21&lt;X20,"W","L"))))))</f>
      </c>
      <c r="AI21" s="316">
        <f>IF(Y20="","",IF(OR(AND(Y21=Y20,Y21&lt;&gt;"T"),Y21&lt;&gt;AD21,Y21=""),"x",""))</f>
      </c>
      <c r="AJ21" s="320">
        <f>IF(Z20="","",IF(OR(AND(Z21=Z20,Z21&lt;&gt;"T"),Z21&lt;&gt;AE21,Z21=""),"x",""))</f>
      </c>
      <c r="AK21" s="320">
        <f>IF(AA20="","",IF(OR(AND(AA21=AA20,AA21&lt;&gt;"T"),AA21&lt;&gt;AF21,AA21=""),"x",""))</f>
      </c>
      <c r="AL21" s="320">
        <f>IF(AB20="","",IF(OR(AND(AB21=AB20,AB21&lt;&gt;"T"),AB21&lt;&gt;AG21,AB21=""),"x",""))</f>
      </c>
      <c r="AM21" s="321">
        <f>IF(AC20="","",IF(OR(AND(AC21=AC20,AC21&lt;&gt;"T"),AC21&lt;&gt;AH21,AC21=""),"x",""))</f>
      </c>
      <c r="AN21" s="322">
        <f t="shared" si="2"/>
      </c>
      <c r="AO21" s="318">
        <f t="shared" si="4"/>
        <v>19.65</v>
      </c>
      <c r="AP21" s="309">
        <f t="shared" si="5"/>
        <v>0</v>
      </c>
      <c r="AQ21" s="319" t="str">
        <f>IF(COUNTIF(Y21:AC21,"w")=uitslagen!$H$49,"W",IF(COUNTIF(Y21:AC21,"L")=uitslagen!$H$49,"L",""))</f>
        <v>L</v>
      </c>
      <c r="AR21" s="319" t="str">
        <f>R20</f>
        <v>Cool Racers</v>
      </c>
      <c r="AS21" s="308" t="s">
        <v>14</v>
      </c>
      <c r="AT21" s="317">
        <v>6</v>
      </c>
      <c r="AU21" s="2"/>
      <c r="AV21" s="308">
        <v>5</v>
      </c>
      <c r="AW21" s="300">
        <v>6</v>
      </c>
      <c r="AX21" s="300" t="str">
        <f t="shared" si="3"/>
        <v>5-6</v>
      </c>
      <c r="AY21" s="308">
        <v>7</v>
      </c>
      <c r="AZ21" s="413">
        <f>""</f>
      </c>
      <c r="BA21" s="99"/>
      <c r="BB21" s="298" t="str">
        <f>'Fast''nFurious Flyballteam'!$C$3&amp;"-"&amp;'Fast''nFurious Flyballteam'!$E$71</f>
        <v>Fast'nFurious Flyballteam-</v>
      </c>
      <c r="BC21" s="299">
        <f>IF('Fast''nFurious Flyballteam'!$V$71="","",'Fast''nFurious Flyballteam'!$V$71)</f>
      </c>
      <c r="BD21" s="299">
        <f>IF('Fast''nFurious Flyballteam'!$V$72="","",'Fast''nFurious Flyballteam'!$V$72)</f>
      </c>
      <c r="BE21" s="299">
        <f>IF('Fast''nFurious Flyballteam'!$V$73="","",'Fast''nFurious Flyballteam'!$V$73)</f>
      </c>
      <c r="BF21" s="299">
        <f>IF('Fast''nFurious Flyballteam'!$V$74="","",'Fast''nFurious Flyballteam'!$V$74)</f>
      </c>
      <c r="BG21" s="299">
        <f>IF('Fast''nFurious Flyballteam'!$V$75="","",'Fast''nFurious Flyballteam'!$V$75)</f>
      </c>
      <c r="BH21" s="300">
        <f>IF('Fast''nFurious Flyballteam'!$Z$71="","",'Fast''nFurious Flyballteam'!$Z$71)</f>
      </c>
      <c r="BI21" s="300">
        <f>IF('Fast''nFurious Flyballteam'!$Z$72="","",'Fast''nFurious Flyballteam'!$Z$72)</f>
      </c>
      <c r="BJ21" s="300">
        <f>IF('Fast''nFurious Flyballteam'!$Z$73="","",'Fast''nFurious Flyballteam'!$Z$73)</f>
      </c>
      <c r="BK21" s="300">
        <f>IF('Fast''nFurious Flyballteam'!$Z$74="","",'Fast''nFurious Flyballteam'!$Z$74)</f>
      </c>
      <c r="BL21" s="301">
        <f>IF('Fast''nFurious Flyballteam'!$Z$75="","",'Fast''nFurious Flyballteam'!$Z$75)</f>
      </c>
    </row>
    <row r="22" spans="1:64" s="190" customFormat="1" ht="18.75" customHeight="1" thickBot="1">
      <c r="A22" s="282"/>
      <c r="B22" s="282"/>
      <c r="C22" s="282"/>
      <c r="D22" s="282"/>
      <c r="E22" s="282"/>
      <c r="F22" s="282"/>
      <c r="G22" s="445" t="s">
        <v>93</v>
      </c>
      <c r="H22" s="420"/>
      <c r="I22" s="619" t="s">
        <v>11</v>
      </c>
      <c r="J22" s="284">
        <f>VLOOKUP(J20,$O$10:$AQ$23,28,FALSE)</f>
      </c>
      <c r="K22" s="448" t="str">
        <f>Q22</f>
        <v>Cool Racers</v>
      </c>
      <c r="M22" s="327" t="str">
        <f>N22&amp;uitslagen!$E$50</f>
        <v>7Rood</v>
      </c>
      <c r="N22" s="160">
        <v>7</v>
      </c>
      <c r="O22" s="328" t="s">
        <v>98</v>
      </c>
      <c r="P22" s="113" t="str">
        <f>"W"&amp;N22</f>
        <v>W7</v>
      </c>
      <c r="Q22" s="325" t="str">
        <f>IF(Q20=R20,R20,IF(P22=AQ22&amp;N22,R22,IF(P22=AQ23&amp;N23,R23,"")))</f>
        <v>Cool Racers</v>
      </c>
      <c r="R22" s="325">
        <f>IF(Q20=R20,"",R21)</f>
      </c>
      <c r="S22" s="101" t="str">
        <f t="shared" si="0"/>
        <v>-7</v>
      </c>
      <c r="T22" s="102">
        <f t="shared" si="1"/>
      </c>
      <c r="U22" s="103">
        <f t="shared" si="1"/>
      </c>
      <c r="V22" s="103">
        <f t="shared" si="1"/>
      </c>
      <c r="W22" s="103">
        <f t="shared" si="1"/>
      </c>
      <c r="X22" s="104">
        <f t="shared" si="1"/>
      </c>
      <c r="Y22" s="102">
        <f t="shared" si="1"/>
      </c>
      <c r="Z22" s="103">
        <f t="shared" si="1"/>
      </c>
      <c r="AA22" s="103">
        <f t="shared" si="1"/>
      </c>
      <c r="AB22" s="103">
        <f t="shared" si="1"/>
      </c>
      <c r="AC22" s="104">
        <f t="shared" si="1"/>
      </c>
      <c r="AD22" s="105">
        <f>IF(T22="W","W",IF(T22="","",(IF(T22=T23,"T",IF(OR(T22="nt",T23="w"),"L",IF(T22&lt;T23,"W","L"))))))</f>
      </c>
      <c r="AE22" s="105">
        <f>IF(U22="W","W",IF(U22="","",(IF(U22=U23,"T",IF(OR(U22="nt",U23="w"),"L",IF(U22&lt;U23,"W","L"))))))</f>
      </c>
      <c r="AF22" s="105">
        <f>IF(V22="W","W",IF(V22="","",(IF(V22=V23,"T",IF(OR(V22="nt",V23="w"),"L",IF(V22&lt;V23,"W","L"))))))</f>
      </c>
      <c r="AG22" s="106">
        <f>IF(W22="W","W",IF(W22="","",(IF(W22=W23,"T",IF(OR(W22="nt",W23="w"),"L",IF(W22&lt;W23,"W","L"))))))</f>
      </c>
      <c r="AH22" s="107">
        <f>IF(X22="W","W",IF(X22="","",(IF(X22=X23,"T",IF(OR(X22="nt",X23="w"),"L",IF(X22&lt;X23,"W","L"))))))</f>
      </c>
      <c r="AI22" s="108">
        <f>IF(Y23="","",IF(OR(AND(Y22=Y23,Y22&lt;&gt;"T"),Y22&lt;&gt;AD22,Y22=""),"x",""))</f>
      </c>
      <c r="AJ22" s="109">
        <f>IF(Z23="","",IF(OR(AND(Z22=Z23,Z22&lt;&gt;"T"),Z22&lt;&gt;AE22,Z22=""),"x",""))</f>
      </c>
      <c r="AK22" s="109">
        <f>IF(AA23="","",IF(OR(AND(AA22=AA23,AA22&lt;&gt;"T"),AA22&lt;&gt;AF22,AA22=""),"x",""))</f>
      </c>
      <c r="AL22" s="109">
        <f>IF(AB23="","",IF(OR(AND(AB22=AB23,AB22&lt;&gt;"T"),AB22&lt;&gt;AG22,AB22=""),"x",""))</f>
      </c>
      <c r="AM22" s="110">
        <f>IF(AC23="","",IF(OR(AND(AC22=AC23,AC22&lt;&gt;"T"),AC22&lt;&gt;AH22,AC22=""),"x",""))</f>
      </c>
      <c r="AN22" s="437">
        <f t="shared" si="2"/>
      </c>
      <c r="AO22" s="112">
        <f t="shared" si="4"/>
      </c>
      <c r="AP22" s="113">
        <f t="shared" si="5"/>
      </c>
      <c r="AQ22" s="114">
        <f>IF(COUNTIF(Y22:AC22,"w")=uitslagen!$H$49,"W",IF(COUNTIF(Y22:AC22,"L")=uitslagen!$H$49,"L",""))</f>
      </c>
      <c r="AR22" s="114">
        <f>R23</f>
      </c>
      <c r="AS22" s="328" t="s">
        <v>13</v>
      </c>
      <c r="AT22" s="111">
        <v>7</v>
      </c>
      <c r="AU22" s="2"/>
      <c r="AV22" s="328">
        <v>6</v>
      </c>
      <c r="AW22" s="329">
        <v>7</v>
      </c>
      <c r="AX22" s="329" t="str">
        <f t="shared" si="3"/>
        <v>6-7</v>
      </c>
      <c r="AY22" s="413">
        <f>""</f>
      </c>
      <c r="AZ22" s="413">
        <f>""</f>
      </c>
      <c r="BA22" s="99"/>
      <c r="BB22" s="392"/>
      <c r="BC22" s="393"/>
      <c r="BD22" s="393"/>
      <c r="BE22" s="393"/>
      <c r="BF22" s="393"/>
      <c r="BG22" s="393"/>
      <c r="BH22" s="394"/>
      <c r="BI22" s="394"/>
      <c r="BJ22" s="394"/>
      <c r="BK22" s="394"/>
      <c r="BL22" s="395"/>
    </row>
    <row r="23" spans="1:64" s="190" customFormat="1" ht="18.75" customHeight="1" thickTop="1">
      <c r="A23" s="282"/>
      <c r="B23" s="282"/>
      <c r="C23" s="282"/>
      <c r="D23" s="282"/>
      <c r="E23" s="282"/>
      <c r="F23" s="282"/>
      <c r="G23" s="419"/>
      <c r="H23" s="420"/>
      <c r="I23" s="619"/>
      <c r="J23" s="285">
        <f>VLOOKUP(J26,$O$10:$AQ$23,28,FALSE)</f>
      </c>
      <c r="K23" s="436"/>
      <c r="M23" s="306" t="str">
        <f>N23&amp;uitslagen!$I$50</f>
        <v>7Blauw</v>
      </c>
      <c r="N23" s="307">
        <v>7</v>
      </c>
      <c r="O23" s="308" t="s">
        <v>102</v>
      </c>
      <c r="P23" s="309" t="str">
        <f>"L"&amp;N23</f>
        <v>L7</v>
      </c>
      <c r="Q23" s="326" t="str">
        <f>IF(Q20=R20,R21,IF(P23=AQ23&amp;N23,R23,IF(P23=AQ22&amp;N22,R22,"")))</f>
        <v>BayernXpress I</v>
      </c>
      <c r="R23" s="326">
        <f>IF(Q20=R20,"",R20)</f>
      </c>
      <c r="S23" s="310" t="str">
        <f t="shared" si="0"/>
        <v>-7</v>
      </c>
      <c r="T23" s="311">
        <f t="shared" si="1"/>
      </c>
      <c r="U23" s="312">
        <f t="shared" si="1"/>
      </c>
      <c r="V23" s="312">
        <f t="shared" si="1"/>
      </c>
      <c r="W23" s="312">
        <f t="shared" si="1"/>
      </c>
      <c r="X23" s="313">
        <f t="shared" si="1"/>
      </c>
      <c r="Y23" s="311">
        <f t="shared" si="1"/>
      </c>
      <c r="Z23" s="312">
        <f t="shared" si="1"/>
      </c>
      <c r="AA23" s="312">
        <f t="shared" si="1"/>
      </c>
      <c r="AB23" s="312">
        <f t="shared" si="1"/>
      </c>
      <c r="AC23" s="313">
        <f t="shared" si="1"/>
      </c>
      <c r="AD23" s="314">
        <f>IF(T23="W","W",IF(T23="","",(IF(T23=T22,"T",IF(OR(T23="nt",T22="w"),"L",IF(T23&lt;T22,"W","L"))))))</f>
      </c>
      <c r="AE23" s="314">
        <f>IF(U23="W","W",IF(U23="","",(IF(U23=U22,"T",IF(OR(U23="nt",U22="w"),"L",IF(U23&lt;U22,"W","L"))))))</f>
      </c>
      <c r="AF23" s="314">
        <f>IF(V23="W","W",IF(V23="","",(IF(V23=V22,"T",IF(OR(V23="nt",V22="w"),"L",IF(V23&lt;V22,"W","L"))))))</f>
      </c>
      <c r="AG23" s="314">
        <f>IF(W23="W","W",IF(W23="","",(IF(W23=W22,"T",IF(OR(W23="nt",W22="w"),"L",IF(W23&lt;W22,"W","L"))))))</f>
      </c>
      <c r="AH23" s="315">
        <f>IF(X23="W","W",IF(X23="","",(IF(X23=X22,"T",IF(OR(X23="nt",X22="w"),"L",IF(X23&lt;X22,"W","L"))))))</f>
      </c>
      <c r="AI23" s="316">
        <f>IF(Y22="","",IF(OR(AND(Y23=Y22,Y23&lt;&gt;"T"),Y23&lt;&gt;AD23,Y23=""),"x",""))</f>
      </c>
      <c r="AJ23" s="320">
        <f>IF(Z22="","",IF(OR(AND(Z23=Z22,Z23&lt;&gt;"T"),Z23&lt;&gt;AE23,Z23=""),"x",""))</f>
      </c>
      <c r="AK23" s="320">
        <f>IF(AA22="","",IF(OR(AND(AA23=AA22,AA23&lt;&gt;"T"),AA23&lt;&gt;AF23,AA23=""),"x",""))</f>
      </c>
      <c r="AL23" s="320">
        <f>IF(AB22="","",IF(OR(AND(AB23=AB22,AB23&lt;&gt;"T"),AB23&lt;&gt;AG23,AB23=""),"x",""))</f>
      </c>
      <c r="AM23" s="321">
        <f>IF(AC22="","",IF(OR(AND(AC23=AC22,AC23&lt;&gt;"T"),AC23&lt;&gt;AH23,AC23=""),"x",""))</f>
      </c>
      <c r="AN23" s="322">
        <f t="shared" si="2"/>
      </c>
      <c r="AO23" s="318">
        <f t="shared" si="4"/>
      </c>
      <c r="AP23" s="309">
        <f t="shared" si="5"/>
      </c>
      <c r="AQ23" s="319">
        <f>IF(COUNTIF(Y23:AC23,"w")=uitslagen!$H$49,"W",IF(COUNTIF(Y23:AC23,"L")=uitslagen!$H$49,"L",""))</f>
      </c>
      <c r="AR23" s="319">
        <f>R22</f>
      </c>
      <c r="AS23" s="308" t="s">
        <v>14</v>
      </c>
      <c r="AT23" s="317">
        <v>7</v>
      </c>
      <c r="AU23" s="2"/>
      <c r="AV23" s="308">
        <v>6</v>
      </c>
      <c r="AW23" s="300">
        <v>7</v>
      </c>
      <c r="AX23" s="300" t="str">
        <f t="shared" si="3"/>
        <v>6-7</v>
      </c>
      <c r="AY23" s="413">
        <f>""</f>
      </c>
      <c r="AZ23" s="413">
        <f>""</f>
      </c>
      <c r="BA23" s="99"/>
      <c r="BB23" s="98"/>
      <c r="BC23" s="302"/>
      <c r="BD23" s="302"/>
      <c r="BE23" s="302"/>
      <c r="BF23" s="302"/>
      <c r="BG23" s="302"/>
      <c r="BH23" s="98"/>
      <c r="BI23" s="98"/>
      <c r="BJ23" s="98"/>
      <c r="BK23" s="98"/>
      <c r="BL23" s="98"/>
    </row>
    <row r="24" spans="1:64" s="190" customFormat="1" ht="18.75" customHeight="1">
      <c r="A24" s="282"/>
      <c r="B24" s="282"/>
      <c r="C24" s="282"/>
      <c r="D24" s="282"/>
      <c r="E24" s="282"/>
      <c r="F24" s="282"/>
      <c r="G24" s="419"/>
      <c r="H24" s="420"/>
      <c r="I24" s="282" t="str">
        <f>VLOOKUP("Finale herkansing",'[1]Strings'!$A$3:$K$102,'[1]Strings'!$A$1,FALSE)</f>
        <v>Finale Wiederholung</v>
      </c>
      <c r="J24" s="433">
        <f>VLOOKUP(J26,$O$10:$AQ$23,26,FALSE)</f>
      </c>
      <c r="K24" s="436" t="str">
        <f>VLOOKUP("WINNAAR",'[1]Strings'!$A$3:$K$102,'[1]Strings'!$A$1,FALSE)</f>
        <v>Gewinner</v>
      </c>
      <c r="M24" s="396"/>
      <c r="N24" s="397"/>
      <c r="O24" s="398"/>
      <c r="P24" s="325"/>
      <c r="Q24" s="325"/>
      <c r="R24" s="325"/>
      <c r="S24" s="399"/>
      <c r="T24" s="400"/>
      <c r="U24" s="401"/>
      <c r="V24" s="401"/>
      <c r="W24" s="401"/>
      <c r="X24" s="402"/>
      <c r="Y24" s="400"/>
      <c r="Z24" s="401"/>
      <c r="AA24" s="401"/>
      <c r="AB24" s="401"/>
      <c r="AC24" s="402"/>
      <c r="AD24" s="403"/>
      <c r="AE24" s="403"/>
      <c r="AF24" s="403"/>
      <c r="AG24" s="403"/>
      <c r="AH24" s="404"/>
      <c r="AI24" s="405"/>
      <c r="AJ24" s="406"/>
      <c r="AK24" s="406"/>
      <c r="AL24" s="406"/>
      <c r="AM24" s="407"/>
      <c r="AN24" s="408"/>
      <c r="AO24" s="409"/>
      <c r="AP24" s="325"/>
      <c r="AQ24" s="410"/>
      <c r="AR24" s="410"/>
      <c r="AS24" s="325"/>
      <c r="AT24" s="411"/>
      <c r="AU24" s="2"/>
      <c r="AV24" s="398"/>
      <c r="AW24" s="412"/>
      <c r="AX24" s="412"/>
      <c r="AY24" s="398"/>
      <c r="AZ24" s="325">
        <f>""</f>
      </c>
      <c r="BA24" s="99"/>
      <c r="BB24" s="98"/>
      <c r="BC24" s="302"/>
      <c r="BD24" s="302"/>
      <c r="BE24" s="302"/>
      <c r="BF24" s="302"/>
      <c r="BG24" s="302"/>
      <c r="BH24" s="98"/>
      <c r="BI24" s="98"/>
      <c r="BJ24" s="98"/>
      <c r="BK24" s="98"/>
      <c r="BL24" s="98"/>
    </row>
    <row r="25" spans="1:64" s="190" customFormat="1" ht="18.75" customHeight="1">
      <c r="A25" s="282"/>
      <c r="B25" s="282"/>
      <c r="C25" s="282"/>
      <c r="D25" s="282"/>
      <c r="E25" s="282"/>
      <c r="F25" s="282"/>
      <c r="G25" s="419"/>
      <c r="H25" s="420"/>
      <c r="I25" s="282"/>
      <c r="J25" s="435"/>
      <c r="K25" s="436"/>
      <c r="N25" s="323"/>
      <c r="O25" s="2"/>
      <c r="P25" s="99"/>
      <c r="Q25" s="99"/>
      <c r="R25" s="2"/>
      <c r="S25" s="100"/>
      <c r="T25" s="9"/>
      <c r="U25" s="9"/>
      <c r="V25" s="9"/>
      <c r="W25" s="9"/>
      <c r="X25" s="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9"/>
      <c r="AP25" s="2"/>
      <c r="AQ25" s="2"/>
      <c r="AR25" s="2"/>
      <c r="AS25" s="2"/>
      <c r="AT25" s="2"/>
      <c r="AU25" s="2"/>
      <c r="AV25" s="99"/>
      <c r="AW25" s="99"/>
      <c r="AX25" s="99"/>
      <c r="AY25" s="99"/>
      <c r="AZ25" s="99"/>
      <c r="BA25" s="99"/>
      <c r="BB25" s="98"/>
      <c r="BC25" s="302"/>
      <c r="BD25" s="302"/>
      <c r="BE25" s="302"/>
      <c r="BF25" s="302"/>
      <c r="BG25" s="302"/>
      <c r="BH25" s="98"/>
      <c r="BI25" s="98"/>
      <c r="BJ25" s="98"/>
      <c r="BK25" s="98"/>
      <c r="BL25" s="98"/>
    </row>
    <row r="26" spans="1:64" s="190" customFormat="1" ht="18.75" customHeight="1" thickBot="1">
      <c r="A26" s="282"/>
      <c r="B26" s="282"/>
      <c r="C26" s="622" t="s">
        <v>6</v>
      </c>
      <c r="D26" s="623" t="str">
        <f>VLOOKUP(E27,$O$10:$AQ$23,4,FALSE)</f>
        <v>Fast'nFurious Flyballteam</v>
      </c>
      <c r="E26" s="623"/>
      <c r="F26" s="282"/>
      <c r="G26" s="419"/>
      <c r="H26" s="624" t="s">
        <v>101</v>
      </c>
      <c r="I26" s="372">
        <f>VLOOKUP(J27,$O$10:$AQ$23,4,FALSE)</f>
      </c>
      <c r="J26" s="441" t="s">
        <v>102</v>
      </c>
      <c r="K26" s="280"/>
      <c r="N26" s="323"/>
      <c r="O26" s="2"/>
      <c r="P26" s="99"/>
      <c r="Q26" s="99"/>
      <c r="R26" s="2"/>
      <c r="S26" s="100"/>
      <c r="T26" s="9"/>
      <c r="U26" s="9"/>
      <c r="V26" s="9"/>
      <c r="W26" s="9"/>
      <c r="X26" s="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9"/>
      <c r="AP26" s="2"/>
      <c r="AQ26" s="2"/>
      <c r="AR26" s="2"/>
      <c r="AS26" s="2"/>
      <c r="AT26" s="2"/>
      <c r="AU26" s="2"/>
      <c r="AV26" s="99"/>
      <c r="AW26" s="99"/>
      <c r="AX26" s="99"/>
      <c r="AY26" s="99"/>
      <c r="AZ26" s="99"/>
      <c r="BA26" s="99"/>
      <c r="BB26" s="98"/>
      <c r="BC26" s="302"/>
      <c r="BD26" s="302"/>
      <c r="BE26" s="302"/>
      <c r="BF26" s="302"/>
      <c r="BG26" s="302"/>
      <c r="BH26" s="98"/>
      <c r="BI26" s="98"/>
      <c r="BJ26" s="98"/>
      <c r="BK26" s="98"/>
      <c r="BL26" s="98"/>
    </row>
    <row r="27" spans="1:64" s="190" customFormat="1" ht="18.75" customHeight="1" thickTop="1">
      <c r="A27" s="452"/>
      <c r="B27" s="282"/>
      <c r="C27" s="622"/>
      <c r="D27" s="279">
        <f>VLOOKUP(E27,$O$10:$AQ$23,27,FALSE)</f>
        <v>19.68</v>
      </c>
      <c r="E27" s="442" t="s">
        <v>99</v>
      </c>
      <c r="F27" s="282"/>
      <c r="G27" s="419"/>
      <c r="H27" s="624"/>
      <c r="I27" s="288">
        <f>VLOOKUP(J27,$O$10:$AQ$23,27,FALSE)</f>
      </c>
      <c r="J27" s="439" t="s">
        <v>102</v>
      </c>
      <c r="K27" s="280"/>
      <c r="N27" s="323"/>
      <c r="P27" s="99"/>
      <c r="Q27" s="99"/>
      <c r="S27" s="303"/>
      <c r="T27" s="303"/>
      <c r="U27" s="303"/>
      <c r="V27" s="100"/>
      <c r="W27" s="100"/>
      <c r="X27" s="100"/>
      <c r="Y27" s="10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9"/>
      <c r="AP27" s="2"/>
      <c r="AQ27" s="2"/>
      <c r="AR27" s="2"/>
      <c r="AS27" s="2"/>
      <c r="AT27" s="2"/>
      <c r="AU27" s="2"/>
      <c r="AV27" s="99"/>
      <c r="AW27" s="99"/>
      <c r="AX27" s="99"/>
      <c r="AY27" s="99"/>
      <c r="AZ27" s="99"/>
      <c r="BA27" s="99"/>
      <c r="BB27" s="98"/>
      <c r="BC27" s="302"/>
      <c r="BD27" s="302"/>
      <c r="BE27" s="302"/>
      <c r="BF27" s="302"/>
      <c r="BG27" s="302"/>
      <c r="BH27" s="98"/>
      <c r="BI27" s="98"/>
      <c r="BJ27" s="98"/>
      <c r="BK27" s="98"/>
      <c r="BL27" s="98"/>
    </row>
    <row r="28" spans="1:64" s="190" customFormat="1" ht="18.75" customHeight="1">
      <c r="A28" s="453"/>
      <c r="B28" s="282"/>
      <c r="C28" s="282"/>
      <c r="D28" s="282"/>
      <c r="E28" s="281">
        <f>VLOOKUP(E27,$O$10:$AQ$23,26,FALSE)</f>
      </c>
      <c r="F28" s="282"/>
      <c r="G28" s="419"/>
      <c r="H28" s="420"/>
      <c r="I28" s="287"/>
      <c r="J28" s="280"/>
      <c r="K28" s="280"/>
      <c r="N28" s="323"/>
      <c r="P28" s="99"/>
      <c r="Q28" s="99"/>
      <c r="S28" s="303"/>
      <c r="T28" s="303"/>
      <c r="U28" s="303"/>
      <c r="V28" s="100"/>
      <c r="W28" s="100"/>
      <c r="X28" s="100"/>
      <c r="Y28" s="10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9"/>
      <c r="AP28" s="2"/>
      <c r="AQ28" s="2"/>
      <c r="AR28" s="2"/>
      <c r="AS28" s="2"/>
      <c r="AT28" s="2"/>
      <c r="AU28" s="2"/>
      <c r="AV28" s="99"/>
      <c r="AW28" s="99"/>
      <c r="AX28" s="99"/>
      <c r="AY28" s="99"/>
      <c r="AZ28" s="99"/>
      <c r="BA28" s="99"/>
      <c r="BB28" s="98"/>
      <c r="BC28" s="302"/>
      <c r="BD28" s="302"/>
      <c r="BE28" s="302"/>
      <c r="BF28" s="302"/>
      <c r="BG28" s="302"/>
      <c r="BH28" s="98"/>
      <c r="BI28" s="98"/>
      <c r="BJ28" s="98"/>
      <c r="BK28" s="98"/>
      <c r="BL28" s="98"/>
    </row>
    <row r="29" spans="1:64" s="190" customFormat="1" ht="18.75" customHeight="1" thickBot="1">
      <c r="A29" s="626" t="s">
        <v>5</v>
      </c>
      <c r="B29" s="623" t="str">
        <f>VLOOKUP(C30,$O$10:$AQ$23,4,FALSE)</f>
        <v>Flying Stars</v>
      </c>
      <c r="C29" s="623"/>
      <c r="D29" s="619" t="s">
        <v>92</v>
      </c>
      <c r="E29" s="417">
        <f>VLOOKUP(E27,$O$10:$AQ$23,28,FALSE)</f>
        <v>2</v>
      </c>
      <c r="F29" s="620" t="str">
        <f>VLOOKUP(G30,$O$10:$AQ$23,4,FALSE)</f>
        <v>BayernXpress I</v>
      </c>
      <c r="G29" s="621"/>
      <c r="H29" s="420"/>
      <c r="I29" s="287" t="str">
        <f>VLOOKUP("indien deze voor het eerst verliest",'[1]Strings'!$A$3:$K$102,'[1]Strings'!$A$1,FALSE)</f>
        <v>wenn zum ersten Mal verloren</v>
      </c>
      <c r="J29" s="280"/>
      <c r="K29" s="280"/>
      <c r="N29" s="323"/>
      <c r="P29" s="99"/>
      <c r="Q29" s="99"/>
      <c r="S29" s="303"/>
      <c r="T29" s="303"/>
      <c r="U29" s="303"/>
      <c r="V29" s="100"/>
      <c r="W29" s="100"/>
      <c r="X29" s="100"/>
      <c r="Y29" s="10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9"/>
      <c r="AP29" s="2"/>
      <c r="AQ29" s="2"/>
      <c r="AR29" s="2"/>
      <c r="AS29" s="2"/>
      <c r="AT29" s="2"/>
      <c r="AU29" s="2"/>
      <c r="AV29" s="99"/>
      <c r="AW29" s="99"/>
      <c r="AX29" s="99"/>
      <c r="AY29" s="99"/>
      <c r="AZ29" s="99"/>
      <c r="BA29" s="99"/>
      <c r="BB29" s="98"/>
      <c r="BC29" s="302"/>
      <c r="BD29" s="302"/>
      <c r="BE29" s="302"/>
      <c r="BF29" s="302"/>
      <c r="BG29" s="302"/>
      <c r="BH29" s="98"/>
      <c r="BI29" s="98"/>
      <c r="BJ29" s="98"/>
      <c r="BK29" s="98"/>
      <c r="BL29" s="98"/>
    </row>
    <row r="30" spans="1:64" s="190" customFormat="1" ht="18.75" customHeight="1" thickTop="1">
      <c r="A30" s="626"/>
      <c r="B30" s="279">
        <f>VLOOKUP(C30,$O$10:$AQ$23,27,FALSE)</f>
        <v>20.4</v>
      </c>
      <c r="C30" s="442" t="s">
        <v>94</v>
      </c>
      <c r="D30" s="619"/>
      <c r="E30" s="418">
        <f>VLOOKUP(E33,$O$10:$AQ$23,28,FALSE)</f>
        <v>3</v>
      </c>
      <c r="F30" s="288">
        <f>VLOOKUP(G30,$O$10:$AQ$23,27,FALSE)</f>
        <v>19.65</v>
      </c>
      <c r="G30" s="443" t="s">
        <v>93</v>
      </c>
      <c r="H30" s="282"/>
      <c r="I30" s="282"/>
      <c r="J30" s="280"/>
      <c r="K30" s="280"/>
      <c r="N30" s="323"/>
      <c r="P30" s="99"/>
      <c r="Q30" s="99"/>
      <c r="S30" s="100"/>
      <c r="T30" s="303"/>
      <c r="U30" s="303"/>
      <c r="V30" s="100"/>
      <c r="W30" s="100"/>
      <c r="X30" s="100"/>
      <c r="Y30" s="10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9"/>
      <c r="AP30" s="2"/>
      <c r="AQ30" s="2"/>
      <c r="AR30" s="2"/>
      <c r="AS30" s="2"/>
      <c r="AT30" s="2"/>
      <c r="AU30" s="2"/>
      <c r="AV30" s="99"/>
      <c r="AW30" s="99"/>
      <c r="AX30" s="99"/>
      <c r="AY30" s="99"/>
      <c r="AZ30" s="99"/>
      <c r="BA30" s="99"/>
      <c r="BB30" s="98"/>
      <c r="BC30" s="302"/>
      <c r="BD30" s="302"/>
      <c r="BE30" s="302"/>
      <c r="BF30" s="302"/>
      <c r="BG30" s="302"/>
      <c r="BH30" s="98"/>
      <c r="BI30" s="98"/>
      <c r="BJ30" s="98"/>
      <c r="BK30" s="98"/>
      <c r="BL30" s="98"/>
    </row>
    <row r="31" spans="1:64" s="190" customFormat="1" ht="18.75" customHeight="1">
      <c r="A31" s="453"/>
      <c r="B31" s="282"/>
      <c r="C31" s="281">
        <f>VLOOKUP(C30,$O$10:$AQ$23,26,FALSE)</f>
      </c>
      <c r="D31" s="415"/>
      <c r="E31" s="286">
        <f>VLOOKUP(E33,$O$10:$AQ$23,26,FALSE)</f>
      </c>
      <c r="F31" s="282"/>
      <c r="G31" s="282"/>
      <c r="H31" s="282"/>
      <c r="I31" s="282"/>
      <c r="J31" s="280"/>
      <c r="K31" s="280"/>
      <c r="N31" s="323"/>
      <c r="P31" s="99"/>
      <c r="Q31" s="99"/>
      <c r="S31" s="2"/>
      <c r="T31" s="303"/>
      <c r="U31" s="303"/>
      <c r="V31" s="100"/>
      <c r="W31" s="100"/>
      <c r="X31" s="100"/>
      <c r="Y31" s="10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9"/>
      <c r="AP31" s="2"/>
      <c r="AQ31" s="2"/>
      <c r="AR31" s="2"/>
      <c r="AS31" s="2"/>
      <c r="AT31" s="2"/>
      <c r="AU31" s="2"/>
      <c r="AV31" s="99"/>
      <c r="AW31" s="99"/>
      <c r="AX31" s="99"/>
      <c r="AY31" s="99"/>
      <c r="AZ31" s="99"/>
      <c r="BA31" s="99"/>
      <c r="BB31" s="98"/>
      <c r="BC31" s="302"/>
      <c r="BD31" s="302"/>
      <c r="BE31" s="302"/>
      <c r="BF31" s="302"/>
      <c r="BG31" s="302"/>
      <c r="BH31" s="98"/>
      <c r="BI31" s="98"/>
      <c r="BJ31" s="98"/>
      <c r="BK31" s="98"/>
      <c r="BL31" s="98"/>
    </row>
    <row r="32" spans="1:64" s="190" customFormat="1" ht="18.75" customHeight="1" thickBot="1">
      <c r="A32" s="282"/>
      <c r="B32" s="619" t="s">
        <v>96</v>
      </c>
      <c r="C32" s="417">
        <f>VLOOKUP(C30,$O$10:$AQ$23,28,FALSE)</f>
        <v>2</v>
      </c>
      <c r="D32" s="620" t="str">
        <f>VLOOKUP(E33,$O$10:$AQ$23,4,FALSE)</f>
        <v>BayernXpress I</v>
      </c>
      <c r="E32" s="621"/>
      <c r="F32" s="282"/>
      <c r="G32" s="282"/>
      <c r="H32" s="282"/>
      <c r="I32" s="282"/>
      <c r="J32" s="280"/>
      <c r="K32" s="280"/>
      <c r="N32" s="323"/>
      <c r="P32" s="99"/>
      <c r="Q32" s="99"/>
      <c r="S32" s="303"/>
      <c r="T32" s="303"/>
      <c r="U32" s="303"/>
      <c r="V32" s="100"/>
      <c r="W32" s="100"/>
      <c r="X32" s="100"/>
      <c r="Y32" s="100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9"/>
      <c r="AP32" s="2"/>
      <c r="AQ32" s="2"/>
      <c r="AR32" s="2"/>
      <c r="AS32" s="2"/>
      <c r="AT32" s="2"/>
      <c r="AU32" s="2"/>
      <c r="AV32" s="99"/>
      <c r="AW32" s="99"/>
      <c r="AX32" s="99"/>
      <c r="AY32" s="99"/>
      <c r="AZ32" s="99"/>
      <c r="BA32" s="99"/>
      <c r="BB32" s="98"/>
      <c r="BC32" s="302"/>
      <c r="BD32" s="302"/>
      <c r="BE32" s="302"/>
      <c r="BF32" s="302"/>
      <c r="BG32" s="302"/>
      <c r="BH32" s="98"/>
      <c r="BI32" s="98"/>
      <c r="BJ32" s="98"/>
      <c r="BK32" s="98"/>
      <c r="BL32" s="98"/>
    </row>
    <row r="33" spans="1:64" s="190" customFormat="1" ht="18.75" customHeight="1" thickTop="1">
      <c r="A33" s="452"/>
      <c r="B33" s="619"/>
      <c r="C33" s="418">
        <f>VLOOKUP(C36,$O$10:$AQ$23,28,FALSE)</f>
        <v>3</v>
      </c>
      <c r="D33" s="288">
        <f>VLOOKUP(E33,$O$10:$AQ$23,27,FALSE)</f>
        <v>20.03</v>
      </c>
      <c r="E33" s="443" t="s">
        <v>97</v>
      </c>
      <c r="F33" s="282"/>
      <c r="G33" s="282"/>
      <c r="H33" s="282"/>
      <c r="I33" s="282"/>
      <c r="J33" s="280"/>
      <c r="K33" s="280"/>
      <c r="M33" s="291"/>
      <c r="N33" s="323"/>
      <c r="O33" s="2"/>
      <c r="P33" s="98"/>
      <c r="Q33" s="98"/>
      <c r="R33" s="2"/>
      <c r="S33" s="100"/>
      <c r="T33" s="9"/>
      <c r="U33" s="9"/>
      <c r="V33" s="9"/>
      <c r="W33" s="9"/>
      <c r="X33" s="9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9"/>
      <c r="AP33" s="2"/>
      <c r="AQ33" s="2"/>
      <c r="AR33" s="2"/>
      <c r="AS33" s="2"/>
      <c r="AT33" s="2"/>
      <c r="AU33" s="2"/>
      <c r="AV33" s="98"/>
      <c r="AW33" s="98"/>
      <c r="AX33" s="98"/>
      <c r="AY33" s="98"/>
      <c r="AZ33" s="98"/>
      <c r="BA33" s="99"/>
      <c r="BB33" s="98"/>
      <c r="BC33" s="302"/>
      <c r="BD33" s="302"/>
      <c r="BE33" s="302"/>
      <c r="BF33" s="302"/>
      <c r="BG33" s="302"/>
      <c r="BH33" s="98"/>
      <c r="BI33" s="98"/>
      <c r="BJ33" s="98"/>
      <c r="BK33" s="98"/>
      <c r="BL33" s="98"/>
    </row>
    <row r="34" spans="1:64" s="190" customFormat="1" ht="18.75" customHeight="1">
      <c r="A34" s="282"/>
      <c r="B34" s="282"/>
      <c r="C34" s="286">
        <f>VLOOKUP(C36,$O$10:$AQ$23,26,FALSE)</f>
      </c>
      <c r="D34" s="282"/>
      <c r="E34" s="282"/>
      <c r="F34" s="282"/>
      <c r="G34" s="282"/>
      <c r="H34" s="282"/>
      <c r="I34" s="282"/>
      <c r="J34" s="280"/>
      <c r="K34" s="280"/>
      <c r="M34" s="291"/>
      <c r="N34" s="323"/>
      <c r="O34" s="2"/>
      <c r="P34" s="98"/>
      <c r="Q34" s="98"/>
      <c r="R34" s="2"/>
      <c r="S34" s="100"/>
      <c r="T34" s="9"/>
      <c r="U34" s="9"/>
      <c r="V34" s="9"/>
      <c r="W34" s="9"/>
      <c r="X34" s="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9"/>
      <c r="AP34" s="2"/>
      <c r="AQ34" s="2"/>
      <c r="AR34" s="2"/>
      <c r="AS34" s="2"/>
      <c r="AT34" s="2"/>
      <c r="AU34" s="2"/>
      <c r="AV34" s="98"/>
      <c r="AW34" s="98"/>
      <c r="AX34" s="98"/>
      <c r="AY34" s="98"/>
      <c r="AZ34" s="98"/>
      <c r="BA34" s="99"/>
      <c r="BB34" s="98"/>
      <c r="BC34" s="302"/>
      <c r="BD34" s="302"/>
      <c r="BE34" s="302"/>
      <c r="BF34" s="302"/>
      <c r="BG34" s="302"/>
      <c r="BH34" s="98"/>
      <c r="BI34" s="98"/>
      <c r="BJ34" s="98"/>
      <c r="BK34" s="98"/>
      <c r="BL34" s="98"/>
    </row>
    <row r="35" spans="1:64" s="190" customFormat="1" ht="18.75" customHeight="1" thickBot="1">
      <c r="A35" s="622" t="s">
        <v>7</v>
      </c>
      <c r="B35" s="627" t="str">
        <f>VLOOKUP(C36,$O$10:$AQ$23,4,FALSE)</f>
        <v>BayernXpress I</v>
      </c>
      <c r="C35" s="621"/>
      <c r="D35" s="282"/>
      <c r="E35" s="282"/>
      <c r="F35" s="282"/>
      <c r="G35" s="282"/>
      <c r="H35" s="282"/>
      <c r="I35" s="282"/>
      <c r="J35" s="280"/>
      <c r="K35" s="280"/>
      <c r="M35" s="291"/>
      <c r="N35" s="323"/>
      <c r="O35" s="2"/>
      <c r="P35" s="98"/>
      <c r="Q35" s="98"/>
      <c r="R35" s="2"/>
      <c r="S35" s="100"/>
      <c r="T35" s="9"/>
      <c r="U35" s="9"/>
      <c r="V35" s="9"/>
      <c r="W35" s="9"/>
      <c r="X35" s="9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9"/>
      <c r="AP35" s="2"/>
      <c r="AQ35" s="2"/>
      <c r="AR35" s="2"/>
      <c r="AS35" s="2"/>
      <c r="AT35" s="2"/>
      <c r="AU35" s="2"/>
      <c r="AV35" s="98"/>
      <c r="AW35" s="98"/>
      <c r="AX35" s="98"/>
      <c r="AY35" s="98"/>
      <c r="AZ35" s="98"/>
      <c r="BA35" s="99"/>
      <c r="BB35" s="98"/>
      <c r="BC35" s="302"/>
      <c r="BD35" s="302"/>
      <c r="BE35" s="302"/>
      <c r="BF35" s="302"/>
      <c r="BG35" s="302"/>
      <c r="BH35" s="98"/>
      <c r="BI35" s="98"/>
      <c r="BJ35" s="98"/>
      <c r="BK35" s="98"/>
      <c r="BL35" s="98"/>
    </row>
    <row r="36" spans="1:64" s="190" customFormat="1" ht="18.75" customHeight="1" thickTop="1">
      <c r="A36" s="622"/>
      <c r="B36" s="288">
        <f>VLOOKUP(C36,$O$10:$AQ$23,27,FALSE)</f>
        <v>19.98</v>
      </c>
      <c r="C36" s="443" t="s">
        <v>95</v>
      </c>
      <c r="D36" s="282"/>
      <c r="E36" s="282"/>
      <c r="F36" s="282"/>
      <c r="G36" s="282"/>
      <c r="H36" s="282"/>
      <c r="I36" s="282"/>
      <c r="J36" s="280"/>
      <c r="K36" s="280"/>
      <c r="M36" s="291"/>
      <c r="N36" s="323"/>
      <c r="O36" s="2"/>
      <c r="P36" s="98"/>
      <c r="Q36" s="98"/>
      <c r="R36" s="2"/>
      <c r="S36" s="100"/>
      <c r="T36" s="9"/>
      <c r="U36" s="9"/>
      <c r="V36" s="9"/>
      <c r="W36" s="9"/>
      <c r="X36" s="9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9"/>
      <c r="AP36" s="2"/>
      <c r="AQ36" s="2"/>
      <c r="AR36" s="2"/>
      <c r="AS36" s="2"/>
      <c r="AT36" s="2"/>
      <c r="AU36" s="2"/>
      <c r="AV36" s="98"/>
      <c r="AW36" s="98"/>
      <c r="AX36" s="98"/>
      <c r="AY36" s="98"/>
      <c r="AZ36" s="98"/>
      <c r="BA36" s="99"/>
      <c r="BB36" s="98"/>
      <c r="BC36" s="302"/>
      <c r="BD36" s="302"/>
      <c r="BE36" s="302"/>
      <c r="BF36" s="302"/>
      <c r="BG36" s="302"/>
      <c r="BH36" s="98"/>
      <c r="BI36" s="98"/>
      <c r="BJ36" s="98"/>
      <c r="BK36" s="98"/>
      <c r="BL36" s="98"/>
    </row>
  </sheetData>
  <sheetProtection sheet="1" objects="1" scenarios="1"/>
  <mergeCells count="65">
    <mergeCell ref="A13:A14"/>
    <mergeCell ref="A29:A30"/>
    <mergeCell ref="AZ1:AZ8"/>
    <mergeCell ref="O1:O8"/>
    <mergeCell ref="R1:R8"/>
    <mergeCell ref="S1:S8"/>
    <mergeCell ref="AH1:AH8"/>
    <mergeCell ref="AB1:AB8"/>
    <mergeCell ref="V1:V8"/>
    <mergeCell ref="N1:N8"/>
    <mergeCell ref="D4:E4"/>
    <mergeCell ref="AX1:AX8"/>
    <mergeCell ref="AY1:AY8"/>
    <mergeCell ref="U1:U8"/>
    <mergeCell ref="AS1:AS8"/>
    <mergeCell ref="T1:T8"/>
    <mergeCell ref="X1:X8"/>
    <mergeCell ref="Y1:Y8"/>
    <mergeCell ref="AD1:AD8"/>
    <mergeCell ref="AE1:AE8"/>
    <mergeCell ref="A35:A36"/>
    <mergeCell ref="B35:C35"/>
    <mergeCell ref="K1:K2"/>
    <mergeCell ref="B7:C7"/>
    <mergeCell ref="B4:B5"/>
    <mergeCell ref="F29:G29"/>
    <mergeCell ref="B29:C29"/>
    <mergeCell ref="D29:D30"/>
    <mergeCell ref="A1:A2"/>
    <mergeCell ref="B1:C1"/>
    <mergeCell ref="AT1:AT8"/>
    <mergeCell ref="AR1:AR8"/>
    <mergeCell ref="AP1:AP8"/>
    <mergeCell ref="AI1:AI8"/>
    <mergeCell ref="W1:W8"/>
    <mergeCell ref="AO1:AO8"/>
    <mergeCell ref="Z1:Z8"/>
    <mergeCell ref="AA1:AA8"/>
    <mergeCell ref="AC1:AC8"/>
    <mergeCell ref="B13:C13"/>
    <mergeCell ref="B16:B17"/>
    <mergeCell ref="AG1:AG8"/>
    <mergeCell ref="AV1:AV8"/>
    <mergeCell ref="AW1:AW8"/>
    <mergeCell ref="AJ1:AJ8"/>
    <mergeCell ref="AK1:AK8"/>
    <mergeCell ref="AL1:AL8"/>
    <mergeCell ref="AM1:AM8"/>
    <mergeCell ref="AN1:AN8"/>
    <mergeCell ref="I22:I23"/>
    <mergeCell ref="D16:E16"/>
    <mergeCell ref="I18:J18"/>
    <mergeCell ref="A19:A20"/>
    <mergeCell ref="B19:C19"/>
    <mergeCell ref="AQ1:AQ8"/>
    <mergeCell ref="A7:A8"/>
    <mergeCell ref="D10:D11"/>
    <mergeCell ref="F10:G10"/>
    <mergeCell ref="AF1:AF8"/>
    <mergeCell ref="B32:B33"/>
    <mergeCell ref="D32:E32"/>
    <mergeCell ref="C26:C27"/>
    <mergeCell ref="D26:E26"/>
    <mergeCell ref="H26:H27"/>
    <mergeCell ref="F18:F19"/>
  </mergeCells>
  <printOptions horizontalCentered="1" vertic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landscape" paperSize="9" scale="75" r:id="rId2"/>
  <headerFooter alignWithMargins="0">
    <oddHeader xml:space="preserve">&amp;C&amp;"Arial,Vet"&amp;16DE 4&amp;R&amp;"Arial,Vet"&amp;16       </oddHeader>
    <oddFooter>&amp;C&amp;"Arial,Cursief"&amp;12v.z.w.  Belgische Flyball  Belge   a.s.b.l.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Mark Dewilde</Manager>
  <Company>v.z.w. Belgische Flyball Belge a.s.b.l.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Beyers</dc:creator>
  <cp:keywords/>
  <dc:description/>
  <cp:lastModifiedBy>Manu</cp:lastModifiedBy>
  <cp:lastPrinted>2017-05-13T10:03:05Z</cp:lastPrinted>
  <dcterms:created xsi:type="dcterms:W3CDTF">2001-10-29T15:15:11Z</dcterms:created>
  <dcterms:modified xsi:type="dcterms:W3CDTF">2017-05-13T14:31:14Z</dcterms:modified>
  <cp:category/>
  <cp:version/>
  <cp:contentType/>
  <cp:contentStatus/>
</cp:coreProperties>
</file>